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607" activeTab="0"/>
  </bookViews>
  <sheets>
    <sheet name="EURO" sheetId="1" r:id="rId1"/>
    <sheet name="BILANS" sheetId="2" r:id="rId2"/>
    <sheet name="SA-P" sheetId="3" r:id="rId3"/>
    <sheet name="no_1B" sheetId="4" r:id="rId4"/>
    <sheet name="no_3B" sheetId="5" r:id="rId5"/>
    <sheet name="no_5E" sheetId="6" r:id="rId6"/>
    <sheet name="no_5F" sheetId="7" r:id="rId7"/>
    <sheet name="no_5G" sheetId="8" r:id="rId8"/>
    <sheet name="no_13" sheetId="9" r:id="rId9"/>
    <sheet name="no_14A-B" sheetId="10" r:id="rId10"/>
    <sheet name="no_22D" sheetId="11" r:id="rId11"/>
    <sheet name="no_22E" sheetId="12" r:id="rId12"/>
    <sheet name="no_23C-D" sheetId="13" r:id="rId13"/>
    <sheet name="noty_RPP" sheetId="14" state="hidden" r:id="rId14"/>
    <sheet name="noty_dodatk." sheetId="15" state="hidden" r:id="rId15"/>
  </sheets>
  <externalReferences>
    <externalReference r:id="rId18"/>
  </externalReferences>
  <definedNames>
    <definedName name="_xlnm.Print_Area" localSheetId="1">'BILANS'!$A$1:$D$98</definedName>
    <definedName name="_xlnm.Print_Area" localSheetId="0">'EURO'!$A$1:$E$49</definedName>
    <definedName name="_xlnm.Print_Area" localSheetId="3">'no_1B'!$A$1:$H$28</definedName>
    <definedName name="_xlnm.Print_Area" localSheetId="11">'no_22E'!$A$1:$H$8</definedName>
    <definedName name="_xlnm.Print_Area" localSheetId="4">'no_3B'!$A$1:$G$24</definedName>
    <definedName name="_xlnm.Print_Area" localSheetId="5">'no_5E'!$A$1:$M$15</definedName>
    <definedName name="_xlnm.Print_Area" localSheetId="14">'noty_dodatk.'!$A$1:$F$190</definedName>
    <definedName name="_xlnm.Print_Area" localSheetId="2">'SA-P'!$A$1:$D$1692</definedName>
  </definedNames>
  <calcPr fullCalcOnLoad="1"/>
</workbook>
</file>

<file path=xl/comments6.xml><?xml version="1.0" encoding="utf-8"?>
<comments xmlns="http://schemas.openxmlformats.org/spreadsheetml/2006/main">
  <authors>
    <author>Monika Kresali</author>
  </authors>
  <commentList>
    <comment ref="K5" authorId="0">
      <text>
        <r>
          <rPr>
            <b/>
            <sz val="8"/>
            <rFont val="Tahoma"/>
            <family val="0"/>
          </rPr>
          <t>Monika Kresali:</t>
        </r>
        <r>
          <rPr>
            <sz val="8"/>
            <rFont val="Tahoma"/>
            <family val="0"/>
          </rPr>
          <t xml:space="preserve">
bankier
</t>
        </r>
      </text>
    </comment>
    <comment ref="K6" authorId="0">
      <text>
        <r>
          <rPr>
            <b/>
            <sz val="8"/>
            <rFont val="Tahoma"/>
            <family val="0"/>
          </rPr>
          <t>Monika Kresali:</t>
        </r>
        <r>
          <rPr>
            <sz val="8"/>
            <rFont val="Tahoma"/>
            <family val="0"/>
          </rPr>
          <t xml:space="preserve">
ccs
</t>
        </r>
      </text>
    </comment>
    <comment ref="K7" authorId="0">
      <text>
        <r>
          <rPr>
            <b/>
            <sz val="8"/>
            <rFont val="Tahoma"/>
            <family val="0"/>
          </rPr>
          <t>Monika Kresali:</t>
        </r>
        <r>
          <rPr>
            <sz val="8"/>
            <rFont val="Tahoma"/>
            <family val="0"/>
          </rPr>
          <t xml:space="preserve">
process4e</t>
        </r>
      </text>
    </comment>
    <comment ref="K8" authorId="0">
      <text>
        <r>
          <rPr>
            <b/>
            <sz val="8"/>
            <rFont val="Tahoma"/>
            <family val="0"/>
          </rPr>
          <t>Monika Kresali:</t>
        </r>
        <r>
          <rPr>
            <sz val="8"/>
            <rFont val="Tahoma"/>
            <family val="0"/>
          </rPr>
          <t xml:space="preserve">
travelplanet
</t>
        </r>
      </text>
    </comment>
    <comment ref="K9" authorId="0">
      <text>
        <r>
          <rPr>
            <b/>
            <sz val="8"/>
            <rFont val="Tahoma"/>
            <family val="0"/>
          </rPr>
          <t>Monika Kresali:</t>
        </r>
        <r>
          <rPr>
            <sz val="8"/>
            <rFont val="Tahoma"/>
            <family val="0"/>
          </rPr>
          <t xml:space="preserve">
jtt</t>
        </r>
      </text>
    </comment>
    <comment ref="K10" authorId="0">
      <text>
        <r>
          <rPr>
            <b/>
            <sz val="8"/>
            <rFont val="Tahoma"/>
            <family val="0"/>
          </rPr>
          <t>Monika Kresali:</t>
        </r>
        <r>
          <rPr>
            <sz val="8"/>
            <rFont val="Tahoma"/>
            <family val="0"/>
          </rPr>
          <t xml:space="preserve">
biprogeo</t>
        </r>
      </text>
    </comment>
    <comment ref="K11" authorId="0">
      <text>
        <r>
          <rPr>
            <b/>
            <sz val="8"/>
            <rFont val="Tahoma"/>
            <family val="0"/>
          </rPr>
          <t>Monika Kresali:</t>
        </r>
        <r>
          <rPr>
            <sz val="8"/>
            <rFont val="Tahoma"/>
            <family val="0"/>
          </rPr>
          <t xml:space="preserve">
synergy
</t>
        </r>
      </text>
    </comment>
    <comment ref="K12" authorId="0">
      <text>
        <r>
          <rPr>
            <b/>
            <sz val="8"/>
            <rFont val="Tahoma"/>
            <family val="0"/>
          </rPr>
          <t>Monika Kresali:</t>
        </r>
        <r>
          <rPr>
            <sz val="8"/>
            <rFont val="Tahoma"/>
            <family val="0"/>
          </rPr>
          <t xml:space="preserve">
s4e</t>
        </r>
      </text>
    </comment>
    <comment ref="K13" authorId="0">
      <text>
        <r>
          <rPr>
            <b/>
            <sz val="8"/>
            <rFont val="Tahoma"/>
            <family val="0"/>
          </rPr>
          <t>Monika Kresali:</t>
        </r>
        <r>
          <rPr>
            <sz val="8"/>
            <rFont val="Tahoma"/>
            <family val="0"/>
          </rPr>
          <t xml:space="preserve">
one2one</t>
        </r>
      </text>
    </comment>
  </commentList>
</comments>
</file>

<file path=xl/sharedStrings.xml><?xml version="1.0" encoding="utf-8"?>
<sst xmlns="http://schemas.openxmlformats.org/spreadsheetml/2006/main" count="2147" uniqueCount="1291">
  <si>
    <t>1.2.3. Odnośnie aktywów i zobowiązań finansowych, których nie wycenia się w wartości godziwej należy zamieścić:</t>
  </si>
  <si>
    <t>b) w przypadku gdy wartość godziwa aktywów i zobowiązań finansowych jest niższa od ich wartości bilansowej - wartość bilansową i wartość godziwą danego składnika lub grupy składników, przyczyny zaniechania odpisów aktualizujących ich wartość bilansową oraz uzasadnienie przekonania o możliwości odzyskania wykazanej wartości w pełnej kwocie</t>
  </si>
  <si>
    <t>a) charakter i wielkość zawartych transakcji, w tym opis przyjętych lub udzielonych gwarancji i zabezpieczeń, dane przyjęte do wyliczenia wartości godziwej przychodów odsetkowych związanych z umowami zawartymi w danym okresie oraz transakcjami zawartymi w okresach poprzednich, zarówno zakończonymi jak i niezakończonymi w danym okresie</t>
  </si>
  <si>
    <t xml:space="preserve">  </t>
  </si>
  <si>
    <t xml:space="preserve">b) informację o aktywach finansowych wyłączonych z ksiąg rachunkowych </t>
  </si>
  <si>
    <t>1.2.5. W przypadku przekwalifikowania aktywów finansowych wycenianych w wartości godziwej do  aktywów wycenianych</t>
  </si>
  <si>
    <t>w skorygowanej cenie nabycia, należy podać powody  zmiany zasad wyceny</t>
  </si>
  <si>
    <t>4. Informacje o przychodach, kosztach i wynikach działalności zaniechanej w danym okresie lub przewidzianej do zaniechania w następnym okresie</t>
  </si>
  <si>
    <t>13. Informacje o znaczących zdarzeniach, jakie nastąpiły po dniu bilansowym, a nieuwzględnionych w sprawozdaniu finansowym</t>
  </si>
  <si>
    <t>14. Informacje o relacjach między prawnym poprzednikiem a emitentem oraz o sposobie i zakresie przejęcia aktywów i pasywów</t>
  </si>
  <si>
    <t>połączenia zostały wykreślone z rejestru, liczbę, wartość nominalną i rodzaj udziałów (akcji)  wyemitowanych w celu połączenia, przychody i koszty, zyski i straty oraz zmiany w kapitałach własnych połączonych spółek za okres od początku roku obrotowego, w ciągu którego nastąpiło połączenie, do dnia połączenia</t>
  </si>
  <si>
    <t>sprzedaży, tj. czy odnosi się je do przychodów lub kosztów finansowych, czy też do kapitału z aktualizacji wyceny, jak również kwoty odniesione na ten kapitał lub z niego odpisane</t>
  </si>
  <si>
    <t xml:space="preserve"> - odszkodowania</t>
  </si>
  <si>
    <t xml:space="preserve"> - naprawy powypadkowe</t>
  </si>
  <si>
    <t>a) dane o ich wartości godziwej; jeżeli z uzasadnionych przyczyn wartość godziwa takich aktywów lub zobowiązań nie została ustalona, to należy ten fakt ujawnić i podać podstawową</t>
  </si>
  <si>
    <t xml:space="preserve"> charakterystykę instrumentów finansowych, które w innym przypadku byłyby wyceniane po cenie ustalonej na aktywnym regulowanym rynku, na którym następuje publiczny obrót instrumentami finansowymi, informacje zaś o tej cenie są ogólnie dostępne</t>
  </si>
  <si>
    <t>1.2.4.  W przypadku umowy, w wyniku której aktywa finansowe przekształca się w papiery wartościowe lub umowy odkupu, to odrębnie dla każdej transakcji należy przedstawić:</t>
  </si>
  <si>
    <t>1.2.6. W przypadku gdy dokonano odpisów aktualizujących z tytułu trwałej utraty wartości aktywów finansowych albo w związku z ustaniem przyczyny, dla której dokonano takich odpisów,</t>
  </si>
  <si>
    <t xml:space="preserve"> zwiększono wartość składnika aktywów, należy podać kwoty odpisów obniżających i zwiększających wartość aktywów finansowych </t>
  </si>
  <si>
    <t>emitenta gwarancjach i poręczeniach (także wekslowych), z wyodrębnieniem udzielonych na rzecz jednostek powiązanych</t>
  </si>
  <si>
    <t xml:space="preserve">5. Koszt wytworzenia środków trwałych w budowie, środków trwałych na własne potrzeby </t>
  </si>
  <si>
    <t xml:space="preserve">7.1. Informacje o transakcjach emitenta  z podmiotami powiązanymi, dotyczących przeniesienia praw i zobowiązań </t>
  </si>
  <si>
    <t>7.2. Dane liczbowe, dotyczące jednostek powiązanych, o:</t>
  </si>
  <si>
    <t xml:space="preserve">a) wzajemnych należnościach i zobowiązaniach </t>
  </si>
  <si>
    <t xml:space="preserve">b) kosztach i przychodach z wzajemnych transakcji </t>
  </si>
  <si>
    <t>c) inne dane niezbędne do sporządzenia skonsolidowanego sprawozdania finansowego</t>
  </si>
  <si>
    <t>8. Informacje o wspólnych przedsięwzięciach, które nie podlegają konsolidacji, w tym:</t>
  </si>
  <si>
    <t>a) nazwie, zakresie działalności wspólnego przedsięwzięcia</t>
  </si>
  <si>
    <t>b) procentowym udziale</t>
  </si>
  <si>
    <t>c) części wspólnie kontrolowanych rzeczowych składników aktywów trwałych, wartości niematerialnych i prawnych</t>
  </si>
  <si>
    <t>d) zobowiązaniach zaciągniętych na potrzeby przedsięwzięcia lub zakupu używanych rzeczowych składników aktywów  trwałych</t>
  </si>
  <si>
    <t>e) części zobowiązań wspólnie zaciągniętych</t>
  </si>
  <si>
    <t>f) przychodach uzyskanych ze wspólnego przedsięwzięcia i kosztach z nimi związanych</t>
  </si>
  <si>
    <t>g) zobowiązaniach warunkowych i inwestycyjnych dotyczących wspólnego przedsięwzięcia</t>
  </si>
  <si>
    <t>9. Informacje o przeciętnym zatrudnieniu, z podziałem na grupy zawodowe</t>
  </si>
  <si>
    <t>inwestor - oddzielnie informacje o wartości wynagrodzeń i nagród otrzymanych z tytułu pełnienia funkcji we władzach jednostek zależnych, współzależnych i stowarzyszonych (dla każdej grupy osobno)</t>
  </si>
  <si>
    <t xml:space="preserve">      </t>
  </si>
  <si>
    <t>ZMIANY WARTOŚCI NIEMATERIALNYCH I PRAWNYCH (wg grup rodzajowych)</t>
  </si>
  <si>
    <t>NOTA 5C</t>
  </si>
  <si>
    <t>NOTA 5D</t>
  </si>
  <si>
    <t>NOTA 5H</t>
  </si>
  <si>
    <t>NOTA 5I</t>
  </si>
  <si>
    <t>NOTA 5J</t>
  </si>
  <si>
    <t>NOTA 5K</t>
  </si>
  <si>
    <t>NOTA 5L</t>
  </si>
  <si>
    <t>NOTA 5M</t>
  </si>
  <si>
    <t>NOTA 2E</t>
  </si>
  <si>
    <t>NOTA 2F</t>
  </si>
  <si>
    <t>NOTA 2G</t>
  </si>
  <si>
    <t>NOTA 6A</t>
  </si>
  <si>
    <t>NOTA 6B</t>
  </si>
  <si>
    <t>NOTA 7</t>
  </si>
  <si>
    <t>NOTA 8A</t>
  </si>
  <si>
    <t>NOTA 8B</t>
  </si>
  <si>
    <t>NOTA 8C</t>
  </si>
  <si>
    <t>NOTA 8D</t>
  </si>
  <si>
    <t>NOTA 8E</t>
  </si>
  <si>
    <t>NOTA 8F</t>
  </si>
  <si>
    <t>NOTA 9</t>
  </si>
  <si>
    <t>NOTA 10A</t>
  </si>
  <si>
    <t>NOTA 10B</t>
  </si>
  <si>
    <t>NOTA 10C</t>
  </si>
  <si>
    <t>NOTA 10D</t>
  </si>
  <si>
    <t>NOTA 10E</t>
  </si>
  <si>
    <t>NOTA 10F</t>
  </si>
  <si>
    <t>NOTA 10G</t>
  </si>
  <si>
    <t>NOTA 13</t>
  </si>
  <si>
    <t>NOTA 18</t>
  </si>
  <si>
    <t>NOTA 19</t>
  </si>
  <si>
    <t>ZMIANA STANU KAPITAŁÓW MNIEJSZOŚCI</t>
  </si>
  <si>
    <t xml:space="preserve">  -  </t>
  </si>
  <si>
    <t>Stan kapitałów mniejszości na koniec okresu</t>
  </si>
  <si>
    <t>6. Poniesione nakłady inwestycyjne oraz planowane w okresie najbliższych 12 miesięcy od dnia bilansowego nakłady inwestycyjne, w tym na niefinansowe aktywa trwałe;</t>
  </si>
  <si>
    <t>10. Informacje o łącznej wartości wynagrodzeń i nagród (w pieniądzu i w naturze), wypłaconych lub należnych, odrębnie dla osób zarządzających i nadzorujących emitenta</t>
  </si>
  <si>
    <t>c1 bony skarbowe i komercyjne</t>
  </si>
  <si>
    <t xml:space="preserve"> w przedsiębiorstwie emitenta, bez względu na to, czy były one zaliczane w koszty, czy też wynikały z podziału zysku, a w przypadku, gdy emitentem  jest jednostka  dominująca lub znaczący</t>
  </si>
  <si>
    <t>15. Sprawozdanie finansowe i porównywalne dane finansowe, przynajmniej w odniesieniu do podstawowych pozycji bilansu oraz rachunku zysków i strat, skorygowane</t>
  </si>
  <si>
    <t xml:space="preserve"> odpowiednim wskaźnikiem inflacji, z podaniem źródła wskaźnika oraz metody jego wykorzystania, z przyjęciem okresu ostatniego sprawozdania finansowego jako okresu bazowego - jeżeli</t>
  </si>
  <si>
    <t xml:space="preserve"> skumulowana średnioroczna stopa inflacji z okresu ostatnich trzech lat działalności emitenta osiągnęła lub przekroczyła wartość 100%</t>
  </si>
  <si>
    <t>16. Zestawienie oraz objaśnienie różnic pomiędzy danymi ujawnionymi w sprawozdaniu finansowym i porównywalnych danych finansowych, a uprzednio sporządzonym</t>
  </si>
  <si>
    <t xml:space="preserve"> i opublikowanymi sprawozdaniami finansowymi </t>
  </si>
  <si>
    <t>17. Zmiany stosowanych zasad (polityki) rachunkowości i sposobu sporządzania sprawozdania finansowego, dokonanych w stosunku do poprzedniego roku obrotowego (lat obrotowych),</t>
  </si>
  <si>
    <t xml:space="preserve"> ich przyczyny, tytuły oraz wpływ wywołanych tym skutków finansowych na sytuację majątkową i finansową, płynność oraz wynik finansowy i rentowność</t>
  </si>
  <si>
    <t>18. Dokonane korekty błędów podstawowych, ich przyczyny, tytuły oraz wpływ wywołanych tym skutków finansowych na sytuację majątkową i finansową,</t>
  </si>
  <si>
    <t xml:space="preserve"> płynność oraz wynik finansowy i rentowność </t>
  </si>
  <si>
    <t>19. W przypadku występowania niepewności co do możliwości kontynuowania działalności, opis tych niepewności oraz stwierdzenie, że taka niepewność występuje,</t>
  </si>
  <si>
    <t>XIV. Kapitał zakładowy</t>
  </si>
  <si>
    <t>XV. Liczba akcji (w szt.)</t>
  </si>
  <si>
    <t>XVI. Zysk (strata) na jedną akcję zwykłą (w zł / EUR)</t>
  </si>
  <si>
    <t>XVII. Rozwodniony zysk (strata) na jedną akcję zwykłą (w zł / EUR)</t>
  </si>
  <si>
    <t>XVIII. Wartość księgowa na jedną akcję (w zł / EUR)</t>
  </si>
  <si>
    <t>XIX. Rozwodniona wartość księgowa na jedną akcję (w zł / EUR)</t>
  </si>
  <si>
    <t>XX. Zadeklarowana lub wypłacona dywidenda na jedną akcję (w zł / EUR)</t>
  </si>
  <si>
    <t>półrocze / 2002</t>
  </si>
  <si>
    <t>półrocze / 2001</t>
  </si>
  <si>
    <t>I. Aktywa trwałe</t>
  </si>
  <si>
    <t>1. Wartości niematerialne i prawne, w tym:</t>
  </si>
  <si>
    <t>2. Rzeczowe aktywa trwałe</t>
  </si>
  <si>
    <t>3. Należności długoterminowe</t>
  </si>
  <si>
    <t>3.1. Od jednostek powiązanych</t>
  </si>
  <si>
    <t>3.2. Od pozostałych jednostek</t>
  </si>
  <si>
    <t>4. Inwestycje długoterminowe</t>
  </si>
  <si>
    <t>4.1. Nieruchomości</t>
  </si>
  <si>
    <t>4.2.  Wartości niematerialne i prawne</t>
  </si>
  <si>
    <t>4.3. Długoterminowe aktywa finansowe</t>
  </si>
  <si>
    <t>a) w jednostkach powiązanych, w tym:</t>
  </si>
  <si>
    <t>b) w pozostałych jednostkach</t>
  </si>
  <si>
    <t>4.4. Inne inwestycje długoterminowe</t>
  </si>
  <si>
    <t>5. Długoterminowe rozliczenia międzyokresowe</t>
  </si>
  <si>
    <t>5.1. Aktywa z tytułu odroczonego podatku dochodowego</t>
  </si>
  <si>
    <t>5.2. Inne rozliczenia międzyokresowe</t>
  </si>
  <si>
    <t xml:space="preserve"> - wartość firmy</t>
  </si>
  <si>
    <t xml:space="preserve"> - udziały lub akcje w jednostkach podporządkowanych wyceniane metodą praw własności</t>
  </si>
  <si>
    <t>II. Aktywa obrotowe</t>
  </si>
  <si>
    <t>2.1. Od jednostek powiązanych</t>
  </si>
  <si>
    <t>2.2. Od pozostałych jednostek</t>
  </si>
  <si>
    <t>3. Inwestycje krótkoterminowe</t>
  </si>
  <si>
    <t>3.1. Krótkoterminowe aktywa finansowe</t>
  </si>
  <si>
    <t>a) w jednostkach powiązanych</t>
  </si>
  <si>
    <t>A</t>
  </si>
  <si>
    <t>B</t>
  </si>
  <si>
    <t>C</t>
  </si>
  <si>
    <t>brak</t>
  </si>
  <si>
    <t>gotówka</t>
  </si>
  <si>
    <t xml:space="preserve">  -  utworzone rezerwy</t>
  </si>
  <si>
    <t xml:space="preserve">  -  rozwiazanie rezerw</t>
  </si>
  <si>
    <t>b1. jednostka/waluta USD</t>
  </si>
  <si>
    <t>b2. jednostka/waluta EUR</t>
  </si>
  <si>
    <t>c) środki pieniężne i inne aktywa pieniężne</t>
  </si>
  <si>
    <t>3.2. Inne inwestycje krótkoterminowe</t>
  </si>
  <si>
    <t>4. Krótkoterminowe rozliczenia międzyokresowe</t>
  </si>
  <si>
    <t>A k t y w a   r a z e m</t>
  </si>
  <si>
    <t>1. Kapitał zakładowy</t>
  </si>
  <si>
    <t>2. Należne wpłaty na kapitał zakładowy (wielkość ujemna)</t>
  </si>
  <si>
    <t>3. Akcje (udziały) własne (wielkość ujemna)</t>
  </si>
  <si>
    <t>4. Kapitał zapasowy</t>
  </si>
  <si>
    <t>a) odniesione na wynik finansowy okresu w związku z dodatnimi różnicami przejściowymi (z tytułu)</t>
  </si>
  <si>
    <t>ZMIANA STANU DŁUGOTERMINOWEJ REZERWY NA ŚWIADCZENIA EMERYTALNE I PODOBNE (WG TYTUŁÓW)</t>
  </si>
  <si>
    <t>c) wykorzystanie (z tytułu)</t>
  </si>
  <si>
    <t>d) rozwiązanie (z tytułu)</t>
  </si>
  <si>
    <t>e) stan na koniec okresu</t>
  </si>
  <si>
    <t xml:space="preserve">b1. jednostka/waluta EUR </t>
  </si>
  <si>
    <t>b2. jednostka/walutaEUR</t>
  </si>
  <si>
    <t>ZOBOWIĄZANIA WARUNKOWE DO JEDNOSTEK POWIĄZANYCH (Z TYTUŁU)</t>
  </si>
  <si>
    <t xml:space="preserve"> - usługi</t>
  </si>
  <si>
    <t xml:space="preserve"> - wyroby</t>
  </si>
  <si>
    <t xml:space="preserve"> - usługi </t>
  </si>
  <si>
    <t>Przychody ze sprzedaży towarów</t>
  </si>
  <si>
    <t>Przychody ze sprzedaży materiałów</t>
  </si>
  <si>
    <t xml:space="preserve">  - aktualizacja wartości inwestycji</t>
  </si>
  <si>
    <t xml:space="preserve">  - umorzenie</t>
  </si>
  <si>
    <t xml:space="preserve">  - zmniejszenie</t>
  </si>
  <si>
    <t xml:space="preserve">  -  inne</t>
  </si>
  <si>
    <t xml:space="preserve">  - przyjęte z inwestycji</t>
  </si>
  <si>
    <t xml:space="preserve">  - zwiekszenie</t>
  </si>
  <si>
    <t xml:space="preserve">   -  sprzedaż</t>
  </si>
  <si>
    <t xml:space="preserve">   -  likwidacja -złomowanie</t>
  </si>
  <si>
    <t xml:space="preserve">  - zakup</t>
  </si>
  <si>
    <t>PLN</t>
  </si>
  <si>
    <t>ZMIANA STANU KRÓTKOTERMINOWEJ REZERWY NA ŚWIADCZENIA EMERYTALNE I PODOBNE (WG TYTUŁÓW)</t>
  </si>
  <si>
    <t>ZMIANA STANU POZOSTAŁYCH REZERW DŁUGOTERMINOWYCH (WG TYTUŁÓW)</t>
  </si>
  <si>
    <t>ZMIANA STANU POZOSTAŁYCH REZERW KRÓTKOTERMINOWYCH (WG TYTUŁÓW)</t>
  </si>
  <si>
    <t>ZOBOWIĄZANIA DŁUGOTERMINOWE</t>
  </si>
  <si>
    <t>a) wobec jednostek zależnych</t>
  </si>
  <si>
    <t>b) wobec jednostek współzależnych</t>
  </si>
  <si>
    <t>c) wobec jednostek stowarzyszonych</t>
  </si>
  <si>
    <t xml:space="preserve"> - kredyty i pożyczki</t>
  </si>
  <si>
    <t xml:space="preserve"> - z tytułu emisji dłużnych papierów wartościowych</t>
  </si>
  <si>
    <t xml:space="preserve"> - inne zobowiązania finansowe, w tym:</t>
  </si>
  <si>
    <t xml:space="preserve"> - umowy leasingu finansowego</t>
  </si>
  <si>
    <t xml:space="preserve"> - inne (wg rodzaju)</t>
  </si>
  <si>
    <t>d) wobec znaczącego inwestora</t>
  </si>
  <si>
    <t>1. Zysk ze zbycia niefinansowych aktywów trwałych</t>
  </si>
  <si>
    <t>2. Dotacje</t>
  </si>
  <si>
    <t>3. Inne przychody operacyjne</t>
  </si>
  <si>
    <t>1. Strata ze zbycia niefinansowych aktywów trwałych</t>
  </si>
  <si>
    <t>2. Aktualizacja wartości aktywów niefinansowych</t>
  </si>
  <si>
    <t>3. Inne koszty operacyjne</t>
  </si>
  <si>
    <t>IX. Zysk (strata) z działalności operacyjnej (VI+VII-VIII)</t>
  </si>
  <si>
    <t>X. Przychody finansowe</t>
  </si>
  <si>
    <t>1. Dywidendy i udziały w zyskach, w tym:</t>
  </si>
  <si>
    <t>2. Odsetki, w tym:</t>
  </si>
  <si>
    <t>3. Zysk ze zbycia inwestycji</t>
  </si>
  <si>
    <t>4. Aktualizacja wartości inwestycji</t>
  </si>
  <si>
    <t>5. Inne</t>
  </si>
  <si>
    <t>XI. Koszty finansowe</t>
  </si>
  <si>
    <t>1. Odsetki, w tym:</t>
  </si>
  <si>
    <t>2. Strata ze zbycia inwestycji</t>
  </si>
  <si>
    <t>3. Aktualizacja wartości inwestycji</t>
  </si>
  <si>
    <t>4. Inne</t>
  </si>
  <si>
    <t>XII. Zysk (strata) z działalności gospodarczej (IX+X-XI)</t>
  </si>
  <si>
    <t>XIII. Wynik zdarzeń nadzwyczajnych (XIII.1. - XIII.2.)</t>
  </si>
  <si>
    <t>XIV. Zysk (strata) brutto (XII+/-XIII)</t>
  </si>
  <si>
    <t>XV. Podatek dochodowy</t>
  </si>
  <si>
    <t>a) część bieżąca</t>
  </si>
  <si>
    <t>b) część odroczona</t>
  </si>
  <si>
    <t>XVI. Pozostałe obowiązkowe zmniejszenia zysku (zwiększenia straty)</t>
  </si>
  <si>
    <t>XVII. Udział w zyskach (stratach) netto jednostek podporządkowanych wycenianych metodą praw własności</t>
  </si>
  <si>
    <t xml:space="preserve"> - od jednostek powiązanych</t>
  </si>
  <si>
    <t xml:space="preserve"> - dla jednostek powiązanych</t>
  </si>
  <si>
    <t>Zysk (strata) netto (zanualizowany)</t>
  </si>
  <si>
    <t>Średnia ważona rozwodniona liczba akcji zwykłych</t>
  </si>
  <si>
    <t>I. Kapitał własny na początek okresu (BO)</t>
  </si>
  <si>
    <t>b) korekty błędów podstawowych</t>
  </si>
  <si>
    <t xml:space="preserve">    - utrata wartości</t>
  </si>
  <si>
    <t xml:space="preserve">     - udziały lub akcje</t>
  </si>
  <si>
    <t xml:space="preserve">     - udzielone pożyczki</t>
  </si>
  <si>
    <t>I.a. Kapitał własny na początek okresu (BO), po uzgodnieniu do danych porównywalnych</t>
  </si>
  <si>
    <t>1. Kapitał zakładowy na początek okresu</t>
  </si>
  <si>
    <t>1.1. Zmiany kapitału zakładowego</t>
  </si>
  <si>
    <t>1.2. Kapitał zakładowy na koniec okresu</t>
  </si>
  <si>
    <t>2. Należne wpłaty na kapitał zakładowy na początek okresu</t>
  </si>
  <si>
    <t>2.1. Zmiany należnych wpłat na kapitał zakładowy</t>
  </si>
  <si>
    <t>Krótkoterminowe rozliczenia międzyokresowe, razem</t>
  </si>
  <si>
    <t>Jeżeli łączna kwota odpisów aktualizujących z tytułu trwałej utraty wartości ujętych / odwróconych jest istotna należy ujawnić:</t>
  </si>
  <si>
    <t>a) główne składniki lub grupy składników aktywów, do których odnosiły się odpisy lub ich odwrócenie,</t>
  </si>
  <si>
    <t>b) główne zdarzenia i okoliczności, które doprowadziły do dokonania lub odwrócenia odpisów,</t>
  </si>
  <si>
    <t>c) dla każdej z wyodrębnionych grup składników aktywów: kwotę dokonanych odpisów aktualizujących, w tym</t>
  </si>
  <si>
    <r>
      <t xml:space="preserve">WARTOŚĆ KSIĘGOWA NA 1 AKCJĘ  - </t>
    </r>
    <r>
      <rPr>
        <i/>
        <sz val="11"/>
        <rFont val="Arial CE"/>
        <family val="2"/>
      </rPr>
      <t>FORMULARZ TEKSTOWY</t>
    </r>
  </si>
  <si>
    <t>POZOSTAŁE KAPITAŁY REZERWOWE (WG CELU PRZEZNACZENIA)</t>
  </si>
  <si>
    <t xml:space="preserve"> - od jednostek zależnych (z tytułu)</t>
  </si>
  <si>
    <t xml:space="preserve"> - od jednostek współzależnych (z tytułu)</t>
  </si>
  <si>
    <t xml:space="preserve"> - od jednostek stowarzyszonych (z tytułu)</t>
  </si>
  <si>
    <t xml:space="preserve"> - od znaczącego inwestora (z tytułu)</t>
  </si>
  <si>
    <t xml:space="preserve"> - od jednostki dominującej (z tytułu)</t>
  </si>
  <si>
    <t>ZMIANA STANU NALEŻNOŚCI DŁUGOTERMINOWYCH (WG TYTUŁÓW)</t>
  </si>
  <si>
    <t>ZMIANA STANU ODPISÓW AKTUALIZUJĄCYCH WARTOŚĆ NALEŻNOŚCI DŁUGOTERMINOWYCH</t>
  </si>
  <si>
    <t>Stan na początek okresu</t>
  </si>
  <si>
    <t>Stan odpisów aktualizujących wartość należności długoterminowych na koniec okresu</t>
  </si>
  <si>
    <t>NALEŻNOŚCI DŁUGOTERMINOWE (STRUKTURA WALUTOWA)</t>
  </si>
  <si>
    <t>a) w walucie polskiej</t>
  </si>
  <si>
    <t>b) w walutach obcych (wg walut i po przeliczeniu na zł)</t>
  </si>
  <si>
    <t xml:space="preserve">b1. jednostka/waluta ... / ... </t>
  </si>
  <si>
    <t>tys. zł</t>
  </si>
  <si>
    <t>pozostałe waluty w tys. zł</t>
  </si>
  <si>
    <t>Należności długoterminowe, razem</t>
  </si>
  <si>
    <t>NOTA 4A</t>
  </si>
  <si>
    <t>ZMIANA STANU NIERUCHOMOŚCI (WG GRUP RODZAJOWYCH)</t>
  </si>
  <si>
    <t>NOTA 4B</t>
  </si>
  <si>
    <t>ZMIANA STANU WARTOŚCI NIEMATERIALNYCH I PRAWNYCH (WG GRUP RODZAJOWYCH)</t>
  </si>
  <si>
    <t>NOTA 4C</t>
  </si>
  <si>
    <t>DŁUGOTERMINOWE AKTYWA FINANSOWE</t>
  </si>
  <si>
    <t>a) w jednostkach zależnych</t>
  </si>
  <si>
    <t>b) w jednostkach współzależnych</t>
  </si>
  <si>
    <t>c) odpisy z zysku</t>
  </si>
  <si>
    <t>II. Kapitał własny na koniec okresu (BZ )</t>
  </si>
  <si>
    <t>III. Kapitał własny, po uwzględnieniu proponowanego podziału zysku (pokrycia straty)</t>
  </si>
  <si>
    <t xml:space="preserve"> - emisji akcji (wydania udziałów)</t>
  </si>
  <si>
    <t xml:space="preserve"> - umorzenia akcji (udziałów)</t>
  </si>
  <si>
    <t xml:space="preserve"> - zbycia środków trwałych</t>
  </si>
  <si>
    <t xml:space="preserve"> - podziału zysku z lat ubiegłych</t>
  </si>
  <si>
    <t xml:space="preserve"> - przeniesienia straty z lat ubiegłych do pokrycia</t>
  </si>
  <si>
    <t xml:space="preserve">A. Przepływy środków pieniężnych z działalności operacyjnej </t>
  </si>
  <si>
    <t>I. Wpływy</t>
  </si>
  <si>
    <t>II. Wydatki</t>
  </si>
  <si>
    <t>(metoda pośrednia)</t>
  </si>
  <si>
    <t>1. Udział w (zyskach) stratach netto jednostek wycenianych metodą praw własności</t>
  </si>
  <si>
    <t>2. Amortyzacja</t>
  </si>
  <si>
    <t>3. (Zyski) straty z tytułu różnic kursowych</t>
  </si>
  <si>
    <t>4. Odsetki i udziały w zyskach (dywidendy)</t>
  </si>
  <si>
    <t>6. Zmiana stanu rezerw</t>
  </si>
  <si>
    <t>7. Zmiana stanu zapasów</t>
  </si>
  <si>
    <t>8. Zmiana stanu należności</t>
  </si>
  <si>
    <t>9. Zmiana stanu zobowiązań krótkoterminowych, z wyjątkiem pożyczek i kredytów</t>
  </si>
  <si>
    <t>10. Zmiana stanu rozliczeń międzyokresowych</t>
  </si>
  <si>
    <t>11. Inne korekty</t>
  </si>
  <si>
    <t>B. Przepływy środków pieniężnych z działalności inwestycyjnej</t>
  </si>
  <si>
    <t>1. Zbycie wartości niematerialnych i prawnych oraz rzeczowych aktywów trwałych</t>
  </si>
  <si>
    <t>2. Zbycie inwestycji w nieruchomości oraz wartości niematerialne i prawne</t>
  </si>
  <si>
    <t>3. Z aktywów finansowych, w tym:</t>
  </si>
  <si>
    <t>4 . Inne wpływy inwestycyjne</t>
  </si>
  <si>
    <t>1. Nabycie wartości niematerialnych i prawnych oraz rzeczowych aktywów trwałych</t>
  </si>
  <si>
    <t>2. Inwestycje w nieruchomości oraz wartości niematerialne i prawne</t>
  </si>
  <si>
    <t>3. Na aktywa finansowe, w tym:</t>
  </si>
  <si>
    <t>4. Inne wydatki inwestycyjne</t>
  </si>
  <si>
    <t>III. Przepływy pieniężne netto z działalności inwestycyjnej (I-II)</t>
  </si>
  <si>
    <t xml:space="preserve"> - zbycie aktywów finansowych</t>
  </si>
  <si>
    <t xml:space="preserve"> - dywidendy i udziały w zyskach</t>
  </si>
  <si>
    <t xml:space="preserve"> - spłata udzielonych pożyczek długoterminowych</t>
  </si>
  <si>
    <t xml:space="preserve"> - odsetki</t>
  </si>
  <si>
    <t xml:space="preserve"> - inne wpływy z aktywów finansowych</t>
  </si>
  <si>
    <t xml:space="preserve"> - nabycie aktywów finansowych</t>
  </si>
  <si>
    <t xml:space="preserve"> - udzielone pożyczki długoterminowe</t>
  </si>
  <si>
    <t xml:space="preserve">    - przekwalifikowanie na inwestycje krótkoterminowe</t>
  </si>
  <si>
    <t>ZMIANA STANU UJEMNEJ WARTOŚCI FIRMY - JEDNOSTKI ZALEŻNE</t>
  </si>
  <si>
    <t>a) ujemna wartość firmy brutto na początek okresu</t>
  </si>
  <si>
    <t>d) ujemna wartość firmy brutto na koniec okresu</t>
  </si>
  <si>
    <t>e) odpis ujemnej wartości firmy na początek okresu</t>
  </si>
  <si>
    <t>f) odpis ujemnej wartości firmy za okres (z tytułu)</t>
  </si>
  <si>
    <t>g) odpis ujemnej wartości firmy na koniec okresu</t>
  </si>
  <si>
    <t>h) ujemna wartość firmy netto na koniec okresu</t>
  </si>
  <si>
    <t>ZMIANA STANU UJEMNEJ WARTOŚCI FIRMY - JEDNOSTKI WSPÓŁZALEŻNE</t>
  </si>
  <si>
    <t>ZMIANA STANU UJEMNEJ WARTOŚCI FIRMY - JEDNOSTKI STOWARZYSZONE</t>
  </si>
  <si>
    <t>ZMIANA STANU DŁUGOTERMINOWYCH AKTYWÓW FINANSOWYCH (WG GRUP RODZAJOWYCH)</t>
  </si>
  <si>
    <t>NOTA 4L</t>
  </si>
  <si>
    <t>charakter powiązania (jednostka zależna, współzależna, stowarzyszona, z wyszczególnieniem powiązań bezpośrednich i pośrednich)</t>
  </si>
  <si>
    <t>RZECZOWE AKTYWA TRWAŁE</t>
  </si>
  <si>
    <t>Lp.</t>
  </si>
  <si>
    <t xml:space="preserve">a </t>
  </si>
  <si>
    <t>nazwa (firma) jednostki ze      wskazaniem formy prawnej</t>
  </si>
  <si>
    <t>nazwa jednostki</t>
  </si>
  <si>
    <t xml:space="preserve">kapitał własny jednostki,       w tym: </t>
  </si>
  <si>
    <t>pozostały kapitał własny,      w tym:</t>
  </si>
  <si>
    <t xml:space="preserve">zobowiązania i rezerwy na zobowiązania </t>
  </si>
  <si>
    <t xml:space="preserve">  jednostki,        w tym:</t>
  </si>
  <si>
    <t>m</t>
  </si>
  <si>
    <t>n</t>
  </si>
  <si>
    <t>o</t>
  </si>
  <si>
    <t>c) nabyte koncesje, patenty, licencje i podobne wartości, w tym:</t>
  </si>
  <si>
    <t>d) inne wartości niematerialne i prawne</t>
  </si>
  <si>
    <t>e) zaliczki na wartości niematerialne i prawne</t>
  </si>
  <si>
    <t>Wartości niematerialne i prawne, razem</t>
  </si>
  <si>
    <t xml:space="preserve"> - oprogramowanie komputerowe</t>
  </si>
  <si>
    <t>WARTOŚCI NIEMATERIALNE I PRAWNE</t>
  </si>
  <si>
    <t>h) odpisy z tytułu trwałej utraty wartości na początek okresu</t>
  </si>
  <si>
    <t>i) odpisy z tytułu trwałej utraty wartości na koniec okresu</t>
  </si>
  <si>
    <t>j) wartość netto wartości niematerialnych i prawnych na koniec okresu</t>
  </si>
  <si>
    <t xml:space="preserve"> - zwiększenie</t>
  </si>
  <si>
    <t xml:space="preserve"> - zmniejszenie</t>
  </si>
  <si>
    <t>a</t>
  </si>
  <si>
    <t xml:space="preserve">b </t>
  </si>
  <si>
    <t>koszty zakończonych prac rozwojowych</t>
  </si>
  <si>
    <t>wartość firmy</t>
  </si>
  <si>
    <t xml:space="preserve">                                      c</t>
  </si>
  <si>
    <t>WARTOŚCI NIEMATERIALNE I PRAWNE (STRUKTURA WŁASNOŚCIOWA)</t>
  </si>
  <si>
    <t>NOTA 1C</t>
  </si>
  <si>
    <t xml:space="preserve">   - od jednostek zależnych</t>
  </si>
  <si>
    <t xml:space="preserve">   - od jednostek współzależnych</t>
  </si>
  <si>
    <t xml:space="preserve">   - od jednostek stowarzyszonych</t>
  </si>
  <si>
    <t xml:space="preserve">   - od znaczącego inwestora</t>
  </si>
  <si>
    <t xml:space="preserve">   - od jednostki dominującej</t>
  </si>
  <si>
    <t>Należności długoterminowe netto</t>
  </si>
  <si>
    <t>4. Stan rezerwy z tytułu odroczonego podatku dochodowego na koniec okresu, razem</t>
  </si>
  <si>
    <t>finansowe</t>
  </si>
  <si>
    <t>Dłużne instrumenty  według rodzaju</t>
  </si>
  <si>
    <t>Noty objaśniające do rachunku zysków i strat</t>
  </si>
  <si>
    <t>a) amortyzacja</t>
  </si>
  <si>
    <t>b) zużycie materiałów i energii</t>
  </si>
  <si>
    <t>ul.Śwdnicka 13, Wrocław</t>
  </si>
  <si>
    <t>Al.KEN 95, Warszawa</t>
  </si>
  <si>
    <t>ul. Grunwaldzka 146a, Poznań</t>
  </si>
  <si>
    <t>PASYWA</t>
  </si>
  <si>
    <t>I. Kapitał własny</t>
  </si>
  <si>
    <t>8. Zysk (strata) netto</t>
  </si>
  <si>
    <t>Wartość księgowa</t>
  </si>
  <si>
    <t>Liczba akcji</t>
  </si>
  <si>
    <t>Wartość księgowa na jedną akcję (w zł)</t>
  </si>
  <si>
    <t>Rozwodniona wartość księgowa na jedną akcję (w zł)</t>
  </si>
  <si>
    <t>-</t>
  </si>
  <si>
    <t>RACHUNEK ZYSKÓW I STRAT</t>
  </si>
  <si>
    <t>1. Przychody netto ze sprzedaży produktów</t>
  </si>
  <si>
    <t>2. Przychody netto ze sprzedaży towarów i materiałów</t>
  </si>
  <si>
    <t>1. Koszt wytworzenia sprzedanych produktów</t>
  </si>
  <si>
    <t>2. Wartość sprzedanych towarów i materiałów</t>
  </si>
  <si>
    <t>IV. Koszty sprzedaży</t>
  </si>
  <si>
    <t>V. Koszty ogólnego zarządu</t>
  </si>
  <si>
    <t>VI. Zysk (strata) na sprzedaży (III-IV-V)</t>
  </si>
  <si>
    <t>VII. Pozostałe przychody operacyjne</t>
  </si>
  <si>
    <t>VIII. Pozostałe koszty operacyjne</t>
  </si>
  <si>
    <t>1. Zyski nadzwyczajne</t>
  </si>
  <si>
    <t xml:space="preserve">XII. Zysk (strata) na sprzedaży całości lub części udziałów podporządkowanych </t>
  </si>
  <si>
    <t xml:space="preserve">  - przejęcie długu</t>
  </si>
  <si>
    <t xml:space="preserve">  - pozostałe</t>
  </si>
  <si>
    <t xml:space="preserve">   Odpis wartości firmy jednostek podporzadkowanych</t>
  </si>
  <si>
    <t xml:space="preserve">   Odpis ujemnej wartości firmy jednostek podporzadkowanych</t>
  </si>
  <si>
    <t>2. Straty nadzwyczajne</t>
  </si>
  <si>
    <t>Średnia ważona liczba akcji zwykłych</t>
  </si>
  <si>
    <t>Zysk (strata) na jedną akcję zwykłą (w zł)</t>
  </si>
  <si>
    <t>Rozwodniony zysk (strata) na jedną akcję zwykłą (w zł)</t>
  </si>
  <si>
    <t>2) należności sporne nie objęte rezerwami i nie wykazane jako należności dochodzone na drodze sądowej ( z tytułu)</t>
  </si>
  <si>
    <t>3) należności przeterminowane</t>
  </si>
  <si>
    <t>4) należności przeterminowane nie objęte rezerwą</t>
  </si>
  <si>
    <r>
      <t xml:space="preserve">ZYSK (STRATA) NA SPRZEDAŻY CAŁOŚCI LUB CZĘŚCI UDZIAŁÓW JEDNOSTEK PODPORZĄDKOWANYCH </t>
    </r>
    <r>
      <rPr>
        <i/>
        <sz val="11"/>
        <rFont val="Arial CE"/>
        <family val="2"/>
      </rPr>
      <t>- FORMULARZ TEKSTOWY</t>
    </r>
  </si>
  <si>
    <t>NALEŻNOŚCI WARUNKOWE OD JEDNOSTEK POWIĄZANYCH (Z TYTUŁU)</t>
  </si>
  <si>
    <t>a) otrzymanych gwarancji i poręczeń, w tym:</t>
  </si>
  <si>
    <t>b) pozostałe (z tytułu)</t>
  </si>
  <si>
    <t xml:space="preserve">    - w tym: od jednostek zależnych</t>
  </si>
  <si>
    <t xml:space="preserve">    - w tym: od jednostek współzależnych</t>
  </si>
  <si>
    <t xml:space="preserve">    - w tym: od jednostek stowarzyszonych</t>
  </si>
  <si>
    <t xml:space="preserve">    - w tym: od znaczącego inwestora</t>
  </si>
  <si>
    <t xml:space="preserve">    - w tym: od jednostki dominującej</t>
  </si>
  <si>
    <t>XVIII. Zysk (strata) mniejszości</t>
  </si>
  <si>
    <t>XIX. Zysk (strata) netto (XIV-XV-XVI+/-XVII)</t>
  </si>
  <si>
    <t>Należności warunkowe od jednostek powiązanych, razem</t>
  </si>
  <si>
    <t>NOTA 23B</t>
  </si>
  <si>
    <t>a) udzielonych gwarancji i poręczeń, w tym:</t>
  </si>
  <si>
    <t xml:space="preserve">    - w tym: na rzecz jednostek zależnych</t>
  </si>
  <si>
    <t xml:space="preserve">    - w tym: na rzecz jednostek współzależnych</t>
  </si>
  <si>
    <t xml:space="preserve">    - w tym: na rzecz jednostek stowarzyszonych</t>
  </si>
  <si>
    <t xml:space="preserve">    - w tym: na rzecz znaczącego inwestora</t>
  </si>
  <si>
    <t xml:space="preserve">    - w tym: na rzecz jednostki dominującej</t>
  </si>
  <si>
    <t>d) wartość brutto środków trwałych na koniec okresu</t>
  </si>
  <si>
    <t>e) skumulowana amortyzacja (umorzenie) na początek okresu</t>
  </si>
  <si>
    <t>NOTA 2C</t>
  </si>
  <si>
    <t>ŚRODKI TRWAŁE BILANSOWE ( STRUKTURA WŁASNOŚCIOWA)</t>
  </si>
  <si>
    <t>a) własne</t>
  </si>
  <si>
    <t>NOTA 2D</t>
  </si>
  <si>
    <t>Środki trwałe pozabilansowe, razem</t>
  </si>
  <si>
    <t xml:space="preserve"> - wartość gruntów użytkowanych wieczyście</t>
  </si>
  <si>
    <t>NOTA 3A</t>
  </si>
  <si>
    <t xml:space="preserve"> - jednostek zależnych</t>
  </si>
  <si>
    <t xml:space="preserve"> - jednostek stowarzyszonych</t>
  </si>
  <si>
    <t>a) stan na początek okresu</t>
  </si>
  <si>
    <t>d) stan na koniec okresu</t>
  </si>
  <si>
    <t>NOTA 3C</t>
  </si>
  <si>
    <t xml:space="preserve">b2. jednostka/waluta ... / ... </t>
  </si>
  <si>
    <t xml:space="preserve">b3. jednostka/waluta ... / ... </t>
  </si>
  <si>
    <t>nabyte koncesje, patenty, licencje i podobne wartości, w tym:</t>
  </si>
  <si>
    <t>grunty (w tym prawo użytkowania wieczystego gruntu)</t>
  </si>
  <si>
    <t xml:space="preserve"> budynki, lokale i obiekty inżynierii lądowej i wodnej</t>
  </si>
  <si>
    <t xml:space="preserve"> urządzenia techniczne i maszyny</t>
  </si>
  <si>
    <t>* stan na początek okresu bieżącego różni się od stanu na koniec roku 2001 o wartość udziałów w spółkach S4E i P4E wcześniej nie objętych konsolidacją</t>
  </si>
  <si>
    <t xml:space="preserve"> środki transportu</t>
  </si>
  <si>
    <t xml:space="preserve"> inne środki trwałe</t>
  </si>
  <si>
    <t>NALEŻNOŚCI Z TYTUŁU DOSTAW I USŁUG, PRZETERMINOWANE (BRUTTO) - Z PODZIAŁEM NA NALEŻNOŚCI NIE SPŁACONE W OKRESIE:</t>
  </si>
  <si>
    <t>7,8</t>
  </si>
  <si>
    <t>3 - 8</t>
  </si>
  <si>
    <t>5. Podatek dochodowy według stawki 28 %</t>
  </si>
  <si>
    <t>6. Zwiększania, zaniechania, zwolnienia, odliczenia i obniżki podatku</t>
  </si>
  <si>
    <t>7. Podatek dochodowy bieżący ujęty (wykazany) w deklaracji podatkowej okresu, w tym:</t>
  </si>
  <si>
    <t xml:space="preserve"> - zmniejszenie (zwiększenie) z tytułu odpisania aktywów z tytułu odroczonego podatku dochodowego lub braku możliwości wykorzystania rezerwy na odroczony podatek dochodowy</t>
  </si>
  <si>
    <t xml:space="preserve"> - inne składniki podatku odroczonego (wg tytułów)</t>
  </si>
  <si>
    <t>ŁĄCZNA KWOTA PODATKU ODROCZONEGO</t>
  </si>
  <si>
    <t xml:space="preserve"> - ujętego w kapitale własnym</t>
  </si>
  <si>
    <t xml:space="preserve"> - ujętego w wartości firmy lub ujemnej wartości firmy</t>
  </si>
  <si>
    <t>PODATEK DOCHODOWY WYKAZANY W RACHUNKU ZYSKÓW I STRAT DOTYCZĄCY</t>
  </si>
  <si>
    <t xml:space="preserve"> - działalności zaniechanej</t>
  </si>
  <si>
    <t xml:space="preserve"> - wyniku na operacjach nadzwyczajnych</t>
  </si>
  <si>
    <t>NOTA 35</t>
  </si>
  <si>
    <t>POZOSTAŁE OBOWIĄZKOWE ZMNIEJSZENIA ZYSKU (ZWIĘKSZENIA STRATY), Z TYTUŁU:</t>
  </si>
  <si>
    <t>Pozostałe obowiązkowe zmniejszenia zysku (zwiększenia straty), razem</t>
  </si>
  <si>
    <t>NOTA 36</t>
  </si>
  <si>
    <t>UDZIAŁ W ZYSKACH ( STRATACH) NETTO JEDNOSTEK PODPORZĄDKOWANYCH WYCENIANYCH METODĄ PRAW WŁASNOŚCI, W TYM:</t>
  </si>
  <si>
    <t xml:space="preserve"> - odpis wartości firmy jednostek podporządkowanych</t>
  </si>
  <si>
    <t>ul. Senatorska 16, Warszawa</t>
  </si>
  <si>
    <t>WIBOR miesięczny</t>
  </si>
  <si>
    <t>02.06.2003</t>
  </si>
  <si>
    <t>wpis na hipotekę, cesja należności, cesja zapasów, cesja środków trwałych (samochody)</t>
  </si>
  <si>
    <t xml:space="preserve">Kwota kretydu / pożyczki*             według umowy </t>
  </si>
  <si>
    <t>Kwota kretydu / pożyczki pozostała do spłaty</t>
  </si>
  <si>
    <t>\</t>
  </si>
  <si>
    <t>Nie podlega konsolidacji na podst.art. 58,ust.1 pkt. 1 ustawy o rachunkowości</t>
  </si>
  <si>
    <t>Nie podlega konsolidacji na podst.art. 57,ust.1 pkt. 1 ustawy o rachunkowości</t>
  </si>
  <si>
    <t>GK CCS S.A.</t>
  </si>
  <si>
    <t>f) ubezpieczenia społeczne i inne świadczenia</t>
  </si>
  <si>
    <t>Koszty według rodzaju, razem</t>
  </si>
  <si>
    <t>Zmiana stanu zapasów, produktów i rozliczeń międzyokresowych</t>
  </si>
  <si>
    <t>Koszty wytworzenia produktów na własne potrzeby jednostki (wielkość ujemna)</t>
  </si>
  <si>
    <t>Koszty sprzedaży (wielkość ujemna)</t>
  </si>
  <si>
    <t>Koszty ogólnego zarządu (wielkość ujemna)</t>
  </si>
  <si>
    <t>Koszt wytworzenia sprzedanych produktów</t>
  </si>
  <si>
    <t>INNE PRZYCHODY OPERACYJNE</t>
  </si>
  <si>
    <t>a) rozwiązane rezerwy (z tytułu)</t>
  </si>
  <si>
    <t>b) pozostałe, w tym:</t>
  </si>
  <si>
    <t>Inne przychody operacyjne, razem</t>
  </si>
  <si>
    <t>INNE KOSZTY OPERACYJNE</t>
  </si>
  <si>
    <t>a) utworzone rezerwy (z tytułu)</t>
  </si>
  <si>
    <t>Inne koszty operacyjne, razem</t>
  </si>
  <si>
    <t>PRZYCHODY FINANSOWE Z TYTUŁU DYWIDEND I UDZIAŁÓW W ZYSKACH</t>
  </si>
  <si>
    <t>a) od jednostek powiązanych, w tym:</t>
  </si>
  <si>
    <t>b) od pozostałych jednostek</t>
  </si>
  <si>
    <t>Przychody finansowe z tytułu dywidend i udziałów w zyskach, razem</t>
  </si>
  <si>
    <t xml:space="preserve"> </t>
  </si>
  <si>
    <t>PRZYCHODY FINANSOWE Z TYTUŁU ODSETEK</t>
  </si>
  <si>
    <t>a) z tytułu udzielonych pożyczek</t>
  </si>
  <si>
    <t>- od jednostek powiązanych, w tym:</t>
  </si>
  <si>
    <t>b) pozostałe odsetki</t>
  </si>
  <si>
    <t>W odniesieniu do pozycji rachunku przepływów pieniężnych "Pozostałe korekty", "Pozostałe wpływy" i "Pozostałe wydatki", należy przedstawić wykaz tych korekt, wpływów i wydatków, których kwoty przekraczają 5% ogólnej sumy odpowiednio korekt, wpływów lub wydatków z danej działalności, a zostały ujęte w tych pozycjach</t>
  </si>
  <si>
    <t>W przypadku gdy rachunek przepływów pieniężnych sporządzony jest metodą bezpośrednią, dodatkowo należy przedstawić notę objaśniającą zawierającą uzgodnienie przepływów pieniężnych netto z działalności operacyjnej metodą pośrednią do wartości wyliczonych metodą bezpośrednią</t>
  </si>
  <si>
    <t>FORMULARZ TEKSTOWY</t>
  </si>
  <si>
    <t xml:space="preserve"> +</t>
  </si>
  <si>
    <t>PRZEPŁYWY ŚRODKÓW PIENIĘŻNYCH Z DZIAŁALNOŚCI OPERACYJNEJ (metoda pośrednia)</t>
  </si>
  <si>
    <t>III. Przepływy pieniężne netto z działalności operacyjnej (I+/-II)</t>
  </si>
  <si>
    <t>B. DODATKOWE NOTY OBJAŚNIAJĄCE</t>
  </si>
  <si>
    <t xml:space="preserve">W dodatkowych notach objaśniających do sprawozdania finansowego i odpowiednio danych porównywalnych należy przedstawić: </t>
  </si>
  <si>
    <t xml:space="preserve">     - strata na sprzedaży platformy</t>
  </si>
  <si>
    <t xml:space="preserve">     - kontrola UKS </t>
  </si>
  <si>
    <t xml:space="preserve">     - ekwiwalenty urlopowe i premie</t>
  </si>
  <si>
    <t xml:space="preserve">  - sprzedaż Platformy Systemowej z 2000 r.</t>
  </si>
  <si>
    <t xml:space="preserve">  - utracone wadium</t>
  </si>
  <si>
    <t xml:space="preserve">  - przecena towarów</t>
  </si>
  <si>
    <t xml:space="preserve">  - koszty po kontroli UKS</t>
  </si>
  <si>
    <t>c) pozostałe</t>
  </si>
  <si>
    <t xml:space="preserve">  - sprzedaż wierzytelności</t>
  </si>
  <si>
    <t xml:space="preserve">  - trwałe różnice</t>
  </si>
  <si>
    <t xml:space="preserve">  - przejściowe różnice</t>
  </si>
  <si>
    <t xml:space="preserve">   - VAT do rozliczenia w następnych okresach</t>
  </si>
  <si>
    <t xml:space="preserve">     - rezerwa na eProjekt</t>
  </si>
  <si>
    <t xml:space="preserve">     - premie</t>
  </si>
  <si>
    <t xml:space="preserve">  - zmiana kapitałów mniejszościowych w wyniku wemitowania akcji jednostek zależnych</t>
  </si>
  <si>
    <t>Jeżeli emitent nie sporządza skonsolidowanego sprawozdania finansowego należy przedstawić informacje o wyniku na sprzedaży całości lub części udziałów (akcji)  w poszczególnych jednostkach zależnych, współzależnych  i stowarzyszonych, sposobie rozliczeń pomiędzy jednostką sprzedającą a kupującą  udziały (akcje) oraz wartości księgowej każdej sprzedanej jednostki</t>
  </si>
  <si>
    <t>ZYSKI NADZWYCZAJNE</t>
  </si>
  <si>
    <t>a) losowe</t>
  </si>
  <si>
    <t>b) pozostałe (wg tytułów)</t>
  </si>
  <si>
    <t>Zyski nadzwyczajne, razem</t>
  </si>
  <si>
    <t xml:space="preserve"> - </t>
  </si>
  <si>
    <t>STRATY NADZWYCZAJNE</t>
  </si>
  <si>
    <t>Straty nadzwyczajne, razem</t>
  </si>
  <si>
    <t>PODATEK DOCHODOWY BIEŻĄCY</t>
  </si>
  <si>
    <t>NALEŻNOŚCI KRÓTKOTERMINOWE</t>
  </si>
  <si>
    <t>a) od jednostek powiązanych</t>
  </si>
  <si>
    <t>- z tytułu dostaw i usług, o okresie spłaty:</t>
  </si>
  <si>
    <t xml:space="preserve">    - do 12 miesięcy</t>
  </si>
  <si>
    <t xml:space="preserve">    - powyżej 12 miesięcy</t>
  </si>
  <si>
    <t>b) należności od pozostałych jednostek</t>
  </si>
  <si>
    <t>- z tytułu podatków, dotacji, ceł, ubezpieczeń społecznych i zdrowotnych oraz innych świadczeń</t>
  </si>
  <si>
    <t>Należności krótkoterminowe netto, razem</t>
  </si>
  <si>
    <t>Należności krótkoterminowe brutto, razem</t>
  </si>
  <si>
    <t xml:space="preserve"> - inne</t>
  </si>
  <si>
    <t xml:space="preserve"> - dochodzone na drodze sądowej</t>
  </si>
  <si>
    <t>NALEŻNOŚCI KRÓTKOTERMINOWE OD JEDNOSTEK POWIĄZANYCH</t>
  </si>
  <si>
    <t>a) z tytułu dostaw i usług, w tym:</t>
  </si>
  <si>
    <t>b) inne, w tym:</t>
  </si>
  <si>
    <t>a) podstawową charakterystykę, ilość i wartość instrumentów finansowych, w tym opis istotnych warunków i terminów,</t>
  </si>
  <si>
    <t>które mogą wpłynąć na wielkość, rozkład w czasie oraz pewność przyszłych przepływów pieniężnych, a w odniesieniu do instrumentów pochodnych w szczególności:</t>
  </si>
  <si>
    <t>- sumę istniejących zobowiązań z tytułu zajętych pozycji w instrumentach</t>
  </si>
  <si>
    <t>b) opis metod i istotnych założeń przyjętych do ustalania wartości godziwej aktywów i zobowiązań finansowych wycenianych w takiej wartości</t>
  </si>
  <si>
    <t xml:space="preserve">c) opis sposobu ujmowania skutków przeszacowania aktywów finansowych zaliczonych do kategorii dostępnych do </t>
  </si>
  <si>
    <t>d) objaśnienie przyjętych zasad wprowadzania do ksiąg rachunkowych instrumentów finansowych nabytych na rynku regulowanym</t>
  </si>
  <si>
    <t>e) informacje na temat obciążenia ryzykiem stopy procentowej, a w szczególności informację o:</t>
  </si>
  <si>
    <t>f) informacje na temat obciążenia ryzykiem kredytowym, a w szczególności informację o:</t>
  </si>
  <si>
    <t xml:space="preserve"> - zakup</t>
  </si>
  <si>
    <t xml:space="preserve">     - lokata długoterminowa</t>
  </si>
  <si>
    <t>Platforma Systemowa</t>
  </si>
  <si>
    <t>Lokata długoterminowa</t>
  </si>
  <si>
    <t xml:space="preserve">     - Platforma Systemowa</t>
  </si>
  <si>
    <t xml:space="preserve">  -  wykorzystanie</t>
  </si>
  <si>
    <t>b3. jednostka/walutaKCZ</t>
  </si>
  <si>
    <t>w tys. zł</t>
  </si>
  <si>
    <t xml:space="preserve">  - odszkodowanie</t>
  </si>
  <si>
    <t xml:space="preserve">  - odsetki od kredytu</t>
  </si>
  <si>
    <t>a) do 1 miesiąca</t>
  </si>
  <si>
    <t>b) powyżej 1 miesiąca do 3 miesięcy</t>
  </si>
  <si>
    <t>c) powyżej 3 miesięcy do 6 miesięcy</t>
  </si>
  <si>
    <t>d) powyżej 6 miesięcy do 1 roku</t>
  </si>
  <si>
    <t>e) powyżej 1 roku</t>
  </si>
  <si>
    <t>f) należności przeterminowane</t>
  </si>
  <si>
    <t>Należności z tytułu dostaw i usług, razem (brutto)</t>
  </si>
  <si>
    <t>g) odpisy aktualizujące wartość należności z tytułu dostaw i usług</t>
  </si>
  <si>
    <t>Należności z tytułu dostaw i usług, razem (netto)</t>
  </si>
  <si>
    <t>Należności z tytułu dostaw i usług, przeterminowane, razem (brutto)</t>
  </si>
  <si>
    <t>f) odpisy aktualizujące wartość należności z tytułu dostaw i usług, przeterminowane</t>
  </si>
  <si>
    <t>Należności z tytułu dostaw i usług, przeterminowane, razem (netto)</t>
  </si>
  <si>
    <t>Wartości niematerialne               i prawne, razem</t>
  </si>
  <si>
    <t>KRÓTKOTERMINOWE AKTYWA FINANSOWE</t>
  </si>
  <si>
    <t xml:space="preserve">  - koszty organizacji poniesione przy załozeniu lub późniejszym rozszerzeniu spółki</t>
  </si>
  <si>
    <t xml:space="preserve"> - kredyty i pożyczki, w tym:</t>
  </si>
  <si>
    <t xml:space="preserve"> - z tytułu dostaw i usług, o okresie wymagalności:</t>
  </si>
  <si>
    <t xml:space="preserve"> - zaliczki otrzymane na dostawy</t>
  </si>
  <si>
    <t xml:space="preserve"> - zobowiązania wekslowe</t>
  </si>
  <si>
    <t>g) fundusze specjalne (wg tytułów)</t>
  </si>
  <si>
    <t>Zobowiązania krótkoterminowe, razem</t>
  </si>
  <si>
    <t>ZOBOWIĄZANIA KRÓTKOTERMINOWE</t>
  </si>
  <si>
    <t>ZOBOWIĄZANIA KRÓTKOTERMINOWE (STRUKTURA WALUTOWA)</t>
  </si>
  <si>
    <t>NOTA 21A</t>
  </si>
  <si>
    <t>ZMIANA STANU UJEMNEJ WARTOŚCI FIRMY</t>
  </si>
  <si>
    <t>Stan ujemnej wartości firmy na koniec okresu</t>
  </si>
  <si>
    <t>ZOBOWIĄZANIA KRÓTKOTERMINOWE Z TYTUŁU KREDYTÓW I POŻYCZEK</t>
  </si>
  <si>
    <t xml:space="preserve">Nazwa (firma) jednostki  </t>
  </si>
  <si>
    <t>ZOBOWIĄZANIA DŁUGOTERMINOWE Z TYTUŁU WYEMITOWANYCH DŁUŻNYCH INSTRUMENTÓW FINANSOWYCH</t>
  </si>
  <si>
    <t>ZOBOWIĄZANIA KRÓTKOTERMINOWE Z TYTUŁU WYEMITOWANYCH DŁUŻNYCH INSTRUMENTÓW FINANSOWYCH</t>
  </si>
  <si>
    <t>NOTA 21B</t>
  </si>
  <si>
    <t>a) bierne rozliczenia międzyokresowe kosztów</t>
  </si>
  <si>
    <t>b) rozliczenia międzyokresowe przychodów</t>
  </si>
  <si>
    <t xml:space="preserve"> - długoterminowe (wg tytułów)</t>
  </si>
  <si>
    <t xml:space="preserve"> - krótkoterminowe (wg tytułów)</t>
  </si>
  <si>
    <t>Należy przedstawić dodatkowe dane objaśniające sposób obliczenia wartości księgowej na jedną akcję oraz rozwodnionej wartości księgowej na jedną akcję</t>
  </si>
  <si>
    <t>NOTA 23A</t>
  </si>
  <si>
    <t>UDZIAŁY LUB AKCJE W JEDNOSTKACH PODPORZĄDKOWANYCH c.d.</t>
  </si>
  <si>
    <t xml:space="preserve">                                                                                                                                     m</t>
  </si>
  <si>
    <t>kapitał zakładowy</t>
  </si>
  <si>
    <t xml:space="preserve">                                                     o</t>
  </si>
  <si>
    <t>p</t>
  </si>
  <si>
    <t>r</t>
  </si>
  <si>
    <t xml:space="preserve">    - leasing finansowy</t>
  </si>
  <si>
    <t>PAPIERY WARTOŚCIOWE, UDZIAŁY I INNE KRÓTKOTERMINOWE AKTYWA FINANSOWE (STRUKTURA WALUTOWA)</t>
  </si>
  <si>
    <t>Papiery wartościowe, udziały i inne krótkoterminowe aktywa finansowe, razem</t>
  </si>
  <si>
    <t>PAPIERY WARTOŚCIOWE, UDZIAŁY I INNE KRÓTKOTERMINOWE AKTYWA FINANSOWE (WEDŁUG ZBYWALNOŚCI)</t>
  </si>
  <si>
    <t xml:space="preserve"> - wartość godziwa</t>
  </si>
  <si>
    <t xml:space="preserve"> - wartość rynkowa</t>
  </si>
  <si>
    <t>Udzielone pożyczki krótkoterminowe, razem</t>
  </si>
  <si>
    <t>UDZIELONE POŻYCZKI KRÓTKOTERMINOWE (STRUKTURA WALUTOWA)</t>
  </si>
  <si>
    <t>ŚRODKI PIENIĘŻNE I INNE AKTYWA PIENIĘŻNE (STRUKTURA WALUTOWA)</t>
  </si>
  <si>
    <t>Środki pieniężne i inne aktywa pieniężne, razem</t>
  </si>
  <si>
    <t>INNE INWESTYCJE KRÓTKOTERMINOWE (WG RODZAJU)</t>
  </si>
  <si>
    <t>Inne inwestycje krótkoterminowe, razem</t>
  </si>
  <si>
    <t>NOTA 11</t>
  </si>
  <si>
    <t>Seria / emisja</t>
  </si>
  <si>
    <t>Rodzaj akcji</t>
  </si>
  <si>
    <t>Rodzaj uprzywilejowania akcji</t>
  </si>
  <si>
    <t>Rodzaj ograniczenia praw do akcji</t>
  </si>
  <si>
    <t>ul.Domaniewska 41, Warszawa</t>
  </si>
  <si>
    <t>Świadczenie usług doradczych i szkoleniowych, usług konsultingowych, produkcja i sprzedaż oprogramowania</t>
  </si>
  <si>
    <t>4 lipca 2000</t>
  </si>
  <si>
    <t>5.</t>
  </si>
  <si>
    <t xml:space="preserve">Travelplanet S.A. </t>
  </si>
  <si>
    <t>Świadczenie usług agencyjnych, pośrednictwa w zakresieumów usług turystycznych z wykorzystaniem internetu</t>
  </si>
  <si>
    <t>15 grudnia 2000</t>
  </si>
  <si>
    <t>6.</t>
  </si>
  <si>
    <t xml:space="preserve">JTT Computer S.A. </t>
  </si>
  <si>
    <t>ul.Braci Gierymskich 156, Wrocław</t>
  </si>
  <si>
    <t>Świadczenie usług marketingowych,transportowo-przewozowych,exportu i importu towarów własnych i osób tzrecich.</t>
  </si>
  <si>
    <t>15 grudnia 1999</t>
  </si>
  <si>
    <t>7.</t>
  </si>
  <si>
    <t xml:space="preserve">Biprogeo S.A. </t>
  </si>
  <si>
    <t>ul.Kaszubska 8, Wrocław</t>
  </si>
  <si>
    <t>Kurs na      30 grudnia</t>
  </si>
  <si>
    <t>Projektowanie systemów informatycznych,sprzętu komputerowego</t>
  </si>
  <si>
    <t>20 czerwca 2001</t>
  </si>
  <si>
    <t>8.</t>
  </si>
  <si>
    <t xml:space="preserve">Synergy S.A. </t>
  </si>
  <si>
    <t xml:space="preserve">     - pozostałe</t>
  </si>
  <si>
    <t>KAPITAŁ ZAPASOWY</t>
  </si>
  <si>
    <t>a) ze sprzedaży akcji powyżej ich wartości nominalnej</t>
  </si>
  <si>
    <t>b) utworzony ustawowo</t>
  </si>
  <si>
    <t>c) utworzony zgodnie ze statutem / umową, ponad wymaganą ustawowo (minimalną) wartość</t>
  </si>
  <si>
    <t>d) z dopłat akcjonariuszy / wspólników</t>
  </si>
  <si>
    <t>e) inny (wg rodzaju)</t>
  </si>
  <si>
    <t>Kapitał zapasowy, razem</t>
  </si>
  <si>
    <t>NOTA 15</t>
  </si>
  <si>
    <t>KAPITAŁ Z AKTUALIZACJI WYCENY</t>
  </si>
  <si>
    <t>01 czerwca 2001</t>
  </si>
  <si>
    <t xml:space="preserve">   ZMIANY WARTOŚCI NIEMATERIALNYCH I PRAWNYCH (wg grup rodzajowych)</t>
  </si>
  <si>
    <t xml:space="preserve"> - odsetki od pozyczek</t>
  </si>
  <si>
    <t>odsetki od pożyczek</t>
  </si>
  <si>
    <t>wycena krótkoterminowych papierów wartosciowych</t>
  </si>
  <si>
    <t xml:space="preserve">     - rezerwa na przewdywaną stratę</t>
  </si>
  <si>
    <t xml:space="preserve">  - refakturacja kosztów</t>
  </si>
  <si>
    <t xml:space="preserve">  - rezerwa na wykup własnych akcji</t>
  </si>
  <si>
    <t xml:space="preserve">  - koszty usług prawniczych</t>
  </si>
  <si>
    <t>10.</t>
  </si>
  <si>
    <t>One2One sp. z o.o.</t>
  </si>
  <si>
    <t>Świadczenie usług w zakresie oprogramowania,świadczenie usług w zakresie przetwarzania danych</t>
  </si>
  <si>
    <t>24 kwietnia 2002</t>
  </si>
  <si>
    <t>(2 z 3) członków RN</t>
  </si>
  <si>
    <t>s</t>
  </si>
  <si>
    <t>t</t>
  </si>
  <si>
    <t xml:space="preserve">należności jednostki, w tym:  </t>
  </si>
  <si>
    <t>aktywa jednostki, razem</t>
  </si>
  <si>
    <t>przychody ze sprzedaży</t>
  </si>
  <si>
    <t>otrzymane lub należne dywidendy</t>
  </si>
  <si>
    <t>nieopłacona przez emitenta wartość</t>
  </si>
  <si>
    <t>udziałów / akcji w jednostce</t>
  </si>
  <si>
    <t>od jednostki za ostatni rok obrotowy</t>
  </si>
  <si>
    <t>a) z tytułu aktualizacji środków trwałych</t>
  </si>
  <si>
    <t>b) z tytułu zysków / strat z wyceny instrumentów finansowych, w tym</t>
  </si>
  <si>
    <t>c) z tytułu podatku odroczonego</t>
  </si>
  <si>
    <t>d) różnice kursowe z przeliczenia oddziałów zagranicznych</t>
  </si>
  <si>
    <t>Kapitał z aktualizacji wyceny, razem</t>
  </si>
  <si>
    <t>1. Zysk (straty mniejszości)</t>
  </si>
  <si>
    <t>2. Udział w (zyskach) stratach netto jednostek wycenianych metodą praw własności</t>
  </si>
  <si>
    <t>3. Amortyzacja</t>
  </si>
  <si>
    <t xml:space="preserve"> - z wyceny instrumentów zabezpieczających</t>
  </si>
  <si>
    <t>NOTA 16</t>
  </si>
  <si>
    <t>Pozostałe kapitały rezerwowe, razem</t>
  </si>
  <si>
    <t>NOTA 17</t>
  </si>
  <si>
    <t>ODPISY Z ZYSKU NETTO W CIĄGU ROKU OBROTOWEGO (Z TYTUŁU)</t>
  </si>
  <si>
    <t>Odpisy z zysku netto w ciągu roku obrotowego, razem</t>
  </si>
  <si>
    <t>ZMIANA STANU REZERWY Z TYTUŁU ODROCZONEGO PODATKU DOCHODOWEGO</t>
  </si>
  <si>
    <t>1. Stan rezerwy z tytułu odroczonego podatku dochodowego na początek okresu, w tym:</t>
  </si>
  <si>
    <t>a) odniesionej na wynik finansowy</t>
  </si>
  <si>
    <t>b) odniesionej na kapitał własny</t>
  </si>
  <si>
    <t>c) odniesionej na wartość firmy lub ujemną wartość firmy</t>
  </si>
  <si>
    <t>a) odniesione na wynik finansowy okresu z tytułu dodatnich różnic przejściowych (z tytułu)</t>
  </si>
  <si>
    <t>sprawdzić</t>
  </si>
  <si>
    <t xml:space="preserve">1.2.2. Odnośnie aktywów finansowych dostępnych do sprzedaży lub przeznaczonych do obrotu, wycenianych w wysokości skorygowanej ceny nabycia, jeżeli brak jest możliwości wiarygodnego zmierzenia wartości godziwej tych aktywów, należy wskazać wartość bilansową, przyczyny, dla których nie można wiarygodnie ustalić wartości godziwej tych aktywów, a także – o ile to możliwe – określić granice przedziału, w którym wartość godziwa tych instrumentów może się zawierać </t>
  </si>
  <si>
    <t>1.2.9. Odnośnie zobowiązań finansowych należy podać koszty z tytułu odsetek od tych zobowiązań, wyliczonych za pomocą stóp procentowych wynikających z zawartych kontraktów,</t>
  </si>
  <si>
    <t>a) kapitał rezerwowy</t>
  </si>
  <si>
    <t>a) kapitał rezerwowy z aktualizacji wyceny</t>
  </si>
  <si>
    <t xml:space="preserve">      - z tytułu podatków, ceł i ubezpieczeń społecznych </t>
  </si>
  <si>
    <t xml:space="preserve">      - z tytułu wynagrodzeń</t>
  </si>
  <si>
    <t xml:space="preserve"> z podziałem na koszty odsetek związane ze zobowiązaniami zaliczonymi do przeznaczonych do obrotu, pozostałymi krótkoterminowymi zobowiązaniami finansowymi oraz</t>
  </si>
  <si>
    <t>1.2.10. Należy podać informacje dotyczące celów i zasad zarządzania ryzykiem finansowym, z uwzględnieniem podziału na zabezpieczanie wartości godziwej,</t>
  </si>
  <si>
    <t xml:space="preserve">zabezpieczanie przepływów pieniężnych oraz zabezpieczanie udziałów w aktywach netto jednostek zagranicznych, a ponadto  informacje obejmujące co najmniej: </t>
  </si>
  <si>
    <t>1.2.12. Jeżeli zyski lub straty z wyceny instrumentów zabezpieczających, zarówno będących pochodnymi instrumentami finansowymi, jak i aktywami lub zobowiązaniami o innym charakterze,</t>
  </si>
  <si>
    <t>w przypadku zabezpieczania przepływów pieniężnych, zostały odniesione na kapitał z aktualizacji wyceny, należy podać:</t>
  </si>
  <si>
    <t>c) kwoty odpisane z kapitału z aktualizacji wyceny i dodane do ceny nabycia lub inaczej ustalonej wartości początkowej na dzień wprowadzenia do ksiąg rachunkowych składnika aktywów lub zobowiązań, który do tego dnia był objęty planowaną transakcją lub stanowił uprawdopodobnione przyszłe zobowiązanie poddane zabezpieczeniu</t>
  </si>
  <si>
    <t xml:space="preserve"> odrębnie należy wykazać poniesione i planowane nakłady na ochronę środowiska naturalnego</t>
  </si>
  <si>
    <t>NOTA 14A</t>
  </si>
  <si>
    <t>NOTA 14B</t>
  </si>
  <si>
    <t>NOTA 5G</t>
  </si>
  <si>
    <t>NOTA 5F</t>
  </si>
  <si>
    <t>NOTA 21C</t>
  </si>
  <si>
    <t>NOTA 21D</t>
  </si>
  <si>
    <t>NOTA 21E</t>
  </si>
  <si>
    <t>NOTA 22A</t>
  </si>
  <si>
    <t>NOTA 22B</t>
  </si>
  <si>
    <t>NOTA 22C</t>
  </si>
  <si>
    <t>NOTA 22D</t>
  </si>
  <si>
    <t>NOTA 22E</t>
  </si>
  <si>
    <t>NOTA 23C</t>
  </si>
  <si>
    <t>NOTA 23D</t>
  </si>
  <si>
    <t>NOTA 25</t>
  </si>
  <si>
    <t>NOTA 26A</t>
  </si>
  <si>
    <t>NOTA 26B</t>
  </si>
  <si>
    <t>NOTA 27A</t>
  </si>
  <si>
    <t>NOTA 27B</t>
  </si>
  <si>
    <t>NOTA 28A</t>
  </si>
  <si>
    <t>NOTA 28B</t>
  </si>
  <si>
    <t>NOTA 29</t>
  </si>
  <si>
    <t>NOTA 30</t>
  </si>
  <si>
    <t>NOTA 32A</t>
  </si>
  <si>
    <t>NOTA 32B</t>
  </si>
  <si>
    <t>NOTA 32C</t>
  </si>
  <si>
    <t>NOTA 33A</t>
  </si>
  <si>
    <t>NOTA 33B</t>
  </si>
  <si>
    <t>NOTA 34</t>
  </si>
  <si>
    <t>NOTA 37A</t>
  </si>
  <si>
    <t>NOTA 37B</t>
  </si>
  <si>
    <t>NOTA 37C</t>
  </si>
  <si>
    <t>NOTA 37D</t>
  </si>
  <si>
    <t>NOTA 39</t>
  </si>
  <si>
    <t>NOTA 40</t>
  </si>
  <si>
    <t>NOTA 41</t>
  </si>
  <si>
    <t>1.2.7. Odnośnie dłużnych instrumentów finansowych, pożyczek udzielonych lub należności własnych należy podać przychody z odsetek wyliczone za pomocą stóp procentowych wynikających z zawartych kontraktów, z podziałem na kategorie aktywów, których odsetki te dotyczą, przy czym osobno należy wykazać odsetki naliczone i zrealizowane w danym okresie oraz odsetki naliczone, lecz niezrealizowane. Odsetki niezrealizowane należy wykazać z podziałem według terminów zapłaty:</t>
  </si>
  <si>
    <t>- do 3 miesięcy</t>
  </si>
  <si>
    <t>- powyżej 3 do 12 miesięcy</t>
  </si>
  <si>
    <t>- powyżej 12 miesięcy</t>
  </si>
  <si>
    <t xml:space="preserve">1.2.8. Odnośnie dokonanych odpisów aktualizujących wartość pożyczek udzielonych lub należności własnych z tytułu trwałej utraty ich wartości należy podać naliczone od tych wierzytelności odsetki, które nie zostały zrealizowane </t>
  </si>
  <si>
    <t>długoterminowymi zobowiązaniami finansowymi; koszty odsetek naliczone i zrealizowane w danym okresie należy wykazać odrębnie od kosztów odsetek naliczonych lecz niezrealizowanych. Odsetki niezrealizowane należy wykazać z podziałem według terminów zapłaty:</t>
  </si>
  <si>
    <t>a) opis rodzaju zabezpieczeń</t>
  </si>
  <si>
    <t xml:space="preserve"> - likwidacja środków trwałych</t>
  </si>
  <si>
    <t xml:space="preserve"> - odpis na kapitał zapasowy</t>
  </si>
  <si>
    <t xml:space="preserve">b) opis instrumentu zabezpieczającego oraz jego wartość godziwą </t>
  </si>
  <si>
    <t xml:space="preserve">c) charakterystykę zabezpieczanego rodzaju ryzyka </t>
  </si>
  <si>
    <t>1.2.11. W przypadku zabezpieczenia planowanej transakcji lub uprawdopodobnionego przyszłego zobowiązania należy podać</t>
  </si>
  <si>
    <t xml:space="preserve">informacje dotyczące celów i zasad zarządzania ryzykiem finansowym, z uwzględnieniem podziału na zabezpieczanie podstawowych rodzajów planowanych transakcji lub uprawdopodobnionych przyszłych zobowiązań, a ponadto informacje obejmujące co najmniej: </t>
  </si>
  <si>
    <t>b) opis zastosowanych instrumentów zabezpieczających</t>
  </si>
  <si>
    <t>a) kwoty odpisów zwiększających i zmniejszających kapitał z aktualizacji wyceny</t>
  </si>
  <si>
    <t>b) kwoty odpisane z kapitału z aktualizacji wyceny i zaliczone do przychodów lub kosztów finansowych</t>
  </si>
  <si>
    <t xml:space="preserve">2. Dane o pozycjach pozabilansowych, w szczególności zobowiązaniach warunkowych, w tym również udzielonych przez </t>
  </si>
  <si>
    <t>oraz wskazanie, czy sprawozdanie finansowe zawiera korekty z tym związane. Informacja powinna zawierać również opis podejmowanych, bądź planowanych przez emitenta działań mających na celu eliminację niepewności</t>
  </si>
  <si>
    <t xml:space="preserve"> - w przypadku rozliczenia metodą nabycia - nazwę (firmę) i opis przedmiotu działalności spółki przejętej, liczbę, wartość nominalną i rodzaj udziałów (akcji) wyemitowanych</t>
  </si>
  <si>
    <t xml:space="preserve"> w celu połączenia, cenę przejęcia, wartość aktywów netto według wartości godziwej spółki przejętej na dzień połączenia, wartość firmy lub ujemną wartość firmy</t>
  </si>
  <si>
    <t xml:space="preserve"> i opis zasad jej amortyzacji lub</t>
  </si>
  <si>
    <t>22. Jeżeli emitent nie sporządza skonsolidowanego sprawozdania finansowego, w dodatkowej nocie objaśniającej do sprawozdania finansowego należy przedstawić podstawę</t>
  </si>
  <si>
    <t xml:space="preserve"> prawną niesporządzania skonsolidowanego sprawozdania finansowego, wraz z danymi uzasadniającymi odstąpienie od konsolidacji lub wyceny metodą praw własności, nazwę i siedzibę jednostki sporządzającej skonsolidowane sprawozdanie finansowe na wyższym szczeblu grupy kapitałowej oraz miejsce jego publikacji, podstawowe wskaźniki ekonomiczno-finansowe, charakteryzujące działalność jednostek powiązanych w danym i ubiegłym roku obrotowym, takie jak: wartość przychodów ze sprzedaży oraz przychodów finansowych,</t>
  </si>
  <si>
    <t xml:space="preserve"> - ...</t>
  </si>
  <si>
    <t xml:space="preserve">   - inne</t>
  </si>
  <si>
    <t xml:space="preserve">     - rezerwa na odsetki od planu opcji</t>
  </si>
  <si>
    <t xml:space="preserve">     - rezerwa na przewidywane zobowiązania</t>
  </si>
  <si>
    <t xml:space="preserve">     - zobowiązanie z tytułu opłacenia kapitału</t>
  </si>
  <si>
    <t xml:space="preserve">    - zobowiązanie z tytułu sprzedaży akcji</t>
  </si>
  <si>
    <t xml:space="preserve">      - ... </t>
  </si>
  <si>
    <t xml:space="preserve">  - zobowiązań</t>
  </si>
  <si>
    <t xml:space="preserve"> wynik finansowy netto oraz wartość kapitału własnego, z podziałem na grupy, wartość aktywów trwałych, przeciętne roczne zatrudnienie oraz inne informacje jeżeli są wymagane na podstawie odrębnych przepisów</t>
  </si>
  <si>
    <t>b) odniesione na kapitał własny w związku z dodatnimi różnicami przejściowymi (z tytułu)</t>
  </si>
  <si>
    <t>c) odniesione na wartość firmy lub ujemną wartość firmy w związku z dodatnimi różnicami przejściowymi (z tytułu)</t>
  </si>
  <si>
    <t>11. Informacje o wartości niespłaconych zaliczek, kredytów, pożyczek, gwarancji, poręczeń lub innych umów zobowiązujących do świadczeń na rzecz emitenta, jednostek od niego zależnych, współzależnych i z nim stowarzyszonych, z podaniem warunków oprocentowania i spłaty tych kwot, udzielonych przez emitenta w przedsiębiorstwie emitenta oraz oddzielnie w przedsiębiorstwach jednostek od niego zależnych, współzależnych i z nim stowarzyszonych (dla każdej grupy osobno), osobom zarządzającym i nadzorującym, odrębnie dla osób zarządzających i nadzorujących oraz oddzielnie ich współmałżonkom, krewnym i powinowatym do drugiego stopnia, przysposobionym lub przysposabiającym oraz innym osobom, z którymi są one powiązane osobiście, z podaniem warunków oprocentowania i spłaty tych kwot</t>
  </si>
  <si>
    <t>12. Informacje o znaczących zdarzeniach, dotyczących lat ubiegłych, ujętych w sprawozdaniu finansowym za bieżący okres</t>
  </si>
  <si>
    <t xml:space="preserve">      - pozostałe</t>
  </si>
  <si>
    <t xml:space="preserve">  - inne</t>
  </si>
  <si>
    <t xml:space="preserve">20. W przypadku sprawozdania finansowego sporządzonego za okres, w ciągu którego nastąpiło połączenie, wskazanie, </t>
  </si>
  <si>
    <t xml:space="preserve">że jest to sprawozdanie finansowe sporządzone po połączeniu spółek, oraz wskazanie dnia połączenia i  zastosowanej metody rozliczenia połączenia (nabycia, łączenia udziałów): </t>
  </si>
  <si>
    <t>- w przypadku rozliczenia metodą łączenia udziałów – nazwę (firmę) i opis przedmiotu działalności spółek, które w wyniku</t>
  </si>
  <si>
    <t>21. W przypadku niestosowania w sprawozdaniu finansowym do wyceny udziałów i akcji w jednostkach podporządkowanych</t>
  </si>
  <si>
    <t>przedmiot przedsiębiorstwa</t>
  </si>
  <si>
    <t>udział w ogólnej liczbie głosów na walnym zgromadzeniu</t>
  </si>
  <si>
    <t>II. Zysk (strata) z działalności operacyjnej</t>
  </si>
  <si>
    <t>V. Przepływy pieniężne netto z działalności operacyjnej</t>
  </si>
  <si>
    <t>VI. Przepływy pieniężne netto z działalności inwestycyjnej</t>
  </si>
  <si>
    <t>VII. Przepływy pieniężne netto z działalności finansowej</t>
  </si>
  <si>
    <t>VIII. Przepływy pieniężne netto, razem</t>
  </si>
  <si>
    <t>IX. Aktywa, razem</t>
  </si>
  <si>
    <t>X. Zobowiązania i rezerwy na zobowiązania</t>
  </si>
  <si>
    <t>XI. Zobowiązania długoterminowe</t>
  </si>
  <si>
    <t>XII. Zobowiązania krótkoterminowe</t>
  </si>
  <si>
    <t>XIII. Kapitał własny</t>
  </si>
  <si>
    <t>e) wobec jednostki dominującej</t>
  </si>
  <si>
    <t>f) wobec pozostałych jednostek</t>
  </si>
  <si>
    <t>Zobowiązania długoterminowe, razem</t>
  </si>
  <si>
    <t>ZOBOWIĄZANIA DŁUGOTERMINOWE, O POZOSTAŁYM OD DNIA BILANSOWEGO OKRESIE SPŁATY</t>
  </si>
  <si>
    <t>a) powyżej 1 roku do 3 lat</t>
  </si>
  <si>
    <t>b) powyżej 3 do 5 lat</t>
  </si>
  <si>
    <t>c) powyżej 5 lat</t>
  </si>
  <si>
    <t>ZOBOWIĄZANIA DŁUGOTERMINOWE (STRUKTURA WALUTOWA)</t>
  </si>
  <si>
    <t xml:space="preserve">  - darowizna</t>
  </si>
  <si>
    <t>II. Kapitały mniejszości</t>
  </si>
  <si>
    <t>III. Ujemna wartość firmy</t>
  </si>
  <si>
    <t>IV. Zobowiązania i rezerwy na zobowiązania</t>
  </si>
  <si>
    <t xml:space="preserve">  - środki transportu</t>
  </si>
  <si>
    <t xml:space="preserve">  - maszyny i urządzenia</t>
  </si>
  <si>
    <t xml:space="preserve">   - czynsz za lokal</t>
  </si>
  <si>
    <t>ok.</t>
  </si>
  <si>
    <t>Dłużne instrumenty finansowe wg rodzaju</t>
  </si>
  <si>
    <t>Wartość nominalna</t>
  </si>
  <si>
    <t>Warunki oprocentowania</t>
  </si>
  <si>
    <t>Termin wykupu</t>
  </si>
  <si>
    <t>Gwarancje / zabezpieczenia</t>
  </si>
  <si>
    <t>Dodatkowe prawa</t>
  </si>
  <si>
    <t>Rynek notowań</t>
  </si>
  <si>
    <t>Inne</t>
  </si>
  <si>
    <t>ZOBOWIĄZANIA DŁUGOTERMINOWE Z TYTUŁU KREDYTÓW I POŻYCZEK</t>
  </si>
  <si>
    <t xml:space="preserve">Nazwa (firma) jednostki ze wskazaniem formy prawnej </t>
  </si>
  <si>
    <t>Siedziba</t>
  </si>
  <si>
    <t>zł</t>
  </si>
  <si>
    <t>waluta</t>
  </si>
  <si>
    <t>Termin spłaty</t>
  </si>
  <si>
    <t>Zabezpieczenia</t>
  </si>
  <si>
    <t>INNE INWESTYCJE KRÓTKOTERMINOWE (STRUKTURA WALUTOWA)</t>
  </si>
  <si>
    <t>KRÓTKOTERMINOWE ROZLICZENIA OKRESOWE</t>
  </si>
  <si>
    <t>* w czerwcu 2002 r. umowa kredytowa była w walucie obcej (KCZ). Z dniem 07.08.2002 r. dokonano przewalutowania umowy kredytowej z koron czeskich na złotówki.</t>
  </si>
  <si>
    <t>5. Kapitał z aktualizacji wyceny</t>
  </si>
  <si>
    <t>6. Pozostałe kapitały rezerwowe</t>
  </si>
  <si>
    <t>7. Zysk (strata) z lat ubiegłych</t>
  </si>
  <si>
    <t>9. Odpisy z zysku netto w ciągu roku obrotowego (wielkość ujemna)</t>
  </si>
  <si>
    <t>1. Rezerwy na zobowiązania</t>
  </si>
  <si>
    <t>1.1. Rezerwa z tytułu odroczonego podatku dochodowego</t>
  </si>
  <si>
    <t>1.2. Rezerwa na świadczenia emerytalne i podobne</t>
  </si>
  <si>
    <t>a) długoterminowa</t>
  </si>
  <si>
    <t>b) krótkoterminowa</t>
  </si>
  <si>
    <t>1.3. Pozostałe rezerwy</t>
  </si>
  <si>
    <t>a) długoterminowe</t>
  </si>
  <si>
    <t>b) krótkoterminowe</t>
  </si>
  <si>
    <t>2. Zobowiązania długoterminowe</t>
  </si>
  <si>
    <t>2.1. Wobec jednostek powiązanych</t>
  </si>
  <si>
    <t>2.2. Wobec pozostałych jednostek</t>
  </si>
  <si>
    <t>3. Zobowiązania krótkoterminowe</t>
  </si>
  <si>
    <t>3.1. Wobec jednostek powiązanych</t>
  </si>
  <si>
    <t>3.2. Wobec pozostałych jednostek</t>
  </si>
  <si>
    <t>3.3. Fundusze specjalne</t>
  </si>
  <si>
    <t>4. Rozliczenia międzyokresowe</t>
  </si>
  <si>
    <t>4.1. Ujemna wartość firmy</t>
  </si>
  <si>
    <t>4.2. Inne rozliczenia międzyokresowe</t>
  </si>
  <si>
    <t>P a s y w a    r a z e m</t>
  </si>
  <si>
    <t>Rozwodniona liczba akcji</t>
  </si>
  <si>
    <t>1. Należności warunkowe</t>
  </si>
  <si>
    <t>1.1. Od jednostek powiązanych (z tytułu)</t>
  </si>
  <si>
    <t>1.2. Od pozostałych jednostek (z tytułu)</t>
  </si>
  <si>
    <t>2. Zobowiązania warunkowe</t>
  </si>
  <si>
    <t>2.1. Na rzecz jednostek powiązanych (z tytułu)</t>
  </si>
  <si>
    <t>2.2. Na rzecz pozostałych jednostek (z tytułu)</t>
  </si>
  <si>
    <t>3. Inne (z tytułu)</t>
  </si>
  <si>
    <t>P o z y c j e   p o z a b i l a n s o w e,   r a z e m</t>
  </si>
  <si>
    <t xml:space="preserve"> - otrzymanych gwarancji i poręczeń</t>
  </si>
  <si>
    <t xml:space="preserve"> - udzielonych gwarancji i poręczeń</t>
  </si>
  <si>
    <t>I. Przychody netto ze sprzedaży produktów, towarów i materiałów, w tym:</t>
  </si>
  <si>
    <t>II. Koszty sprzedanych produktów, towarów i materiałów, w tym:</t>
  </si>
  <si>
    <t>III. Zysk (strata) brutto ze sprzedaży (I-II)</t>
  </si>
  <si>
    <t>c) w jednostkach stowarzyszonych</t>
  </si>
  <si>
    <t>d) w znaczącym inwestorze</t>
  </si>
  <si>
    <t>e) w jednostce dominującej</t>
  </si>
  <si>
    <t>f) w pozostałych jednostkach</t>
  </si>
  <si>
    <t>Długoterminowe aktywa finansowe, razem</t>
  </si>
  <si>
    <t xml:space="preserve"> - udziały lub akcje</t>
  </si>
  <si>
    <t xml:space="preserve"> - dłużne papiery wartościowe</t>
  </si>
  <si>
    <t xml:space="preserve"> - inne papiery wartościowe (wg rodzaju)</t>
  </si>
  <si>
    <t xml:space="preserve"> - udzielone pożyczki</t>
  </si>
  <si>
    <t xml:space="preserve"> - inne długoterminowe aktywa finansowe (wg rodzaju)</t>
  </si>
  <si>
    <t>NOTA 4D</t>
  </si>
  <si>
    <t>Wartość nominalna jednej akcji = 1 zł</t>
  </si>
  <si>
    <t>zwykłe na okaziciela</t>
  </si>
  <si>
    <t>D</t>
  </si>
  <si>
    <t>E</t>
  </si>
  <si>
    <t>aport</t>
  </si>
  <si>
    <t>21.07.1999</t>
  </si>
  <si>
    <t>16.11.1999</t>
  </si>
  <si>
    <t>28.04.2000</t>
  </si>
  <si>
    <t>29.12.2000</t>
  </si>
  <si>
    <t>od lipca 1999</t>
  </si>
  <si>
    <t>od stycznia 2000</t>
  </si>
  <si>
    <t>UDZIAŁY LUB AKCJE W JEDNOSTKACH PODPORZĄDKOWANYCH WYCENIANYCH METODĄ PRAW WŁASNOŚCI, W TYM:</t>
  </si>
  <si>
    <t>a) wartość firmy jednostek podporządkowanych</t>
  </si>
  <si>
    <t>b) ujemna wartość firmy jednostek podporządkowanych</t>
  </si>
  <si>
    <t xml:space="preserve"> - jednostek współzależnych</t>
  </si>
  <si>
    <t>ZMIANA STANU WARTOŚCI FIRMY - JEDNOSTKI ZALEŻNE</t>
  </si>
  <si>
    <t>a) wartość firmy brutto na początek okresu</t>
  </si>
  <si>
    <t>d) wartość firmy brutto na koniec okresu</t>
  </si>
  <si>
    <t>e) odpis wartości firmy na początek okresu</t>
  </si>
  <si>
    <t>f) odpis wartości firmy za okres (z tytułu)</t>
  </si>
  <si>
    <t>g) odpis wartości firmy na koniec okresu</t>
  </si>
  <si>
    <t>h) wartość firmy netto na koniec okresu</t>
  </si>
  <si>
    <t>ZMIANA STANU WARTOŚCI FIRMY - JEDNOSTKI WSPÓŁZALEŻNE</t>
  </si>
  <si>
    <t>ZMIANA STANU WARTOŚCI FIRMY - JEDNOSTKI STOWARZYSZONE</t>
  </si>
  <si>
    <t xml:space="preserve">  -</t>
  </si>
  <si>
    <t>wartość</t>
  </si>
  <si>
    <t xml:space="preserve"> - należności długo-terminowe</t>
  </si>
  <si>
    <t xml:space="preserve"> - należności krótko-terminowe</t>
  </si>
  <si>
    <t>2.2. Należne wpłaty na kapitał zakładowy na koniec okresu</t>
  </si>
  <si>
    <t>3. Akcje (udziały) własne na początek okresu</t>
  </si>
  <si>
    <t>3.1. Zmiany akcji (udziałów) własnych</t>
  </si>
  <si>
    <t>3.2. Akcje (udziały) własne na koniec okresu</t>
  </si>
  <si>
    <t>4. Kapitał zapasowy na początek okresu</t>
  </si>
  <si>
    <t>4.1. Zmiany kapitału zapasowego</t>
  </si>
  <si>
    <t>4.2. Kapitał zapasowy na koniec okresu</t>
  </si>
  <si>
    <t>5. Kapitał z aktualizacji wyceny na początek okresu</t>
  </si>
  <si>
    <t>5.1. Zmiany kapitału z aktualizacji wyceny</t>
  </si>
  <si>
    <t>5.2. Kapitał z aktualizacji wyceny na koniec okresu</t>
  </si>
  <si>
    <t>6. Pozostałe kapitały rezerwowe na początek okresu</t>
  </si>
  <si>
    <t>6.1. Zmiany pozostałych kapitałów rezerwowych</t>
  </si>
  <si>
    <t>6.2. Pozostałe kapitały rezerwowe na koniec okresu</t>
  </si>
  <si>
    <t>7. Zysk (strata) z lat ubiegłych na początek okresu</t>
  </si>
  <si>
    <t>7.1. Zysk z lat ubiegłych na początek okresu</t>
  </si>
  <si>
    <t>7.2. Zysk z lat ubiegłych, na początek okresu, po uzgodnieniu do danych porównywalnych</t>
  </si>
  <si>
    <t>7.3. Zysk z lat ubiegłych na koniec okresu</t>
  </si>
  <si>
    <t>7.4. Strata z lat ubiegłych na początek okresu</t>
  </si>
  <si>
    <t>7.5. Strata z lat ubiegłych na początek okresu, po uzgodnieniu do danych porównywalnych</t>
  </si>
  <si>
    <t>7.6. Strata z lat ubiegłych na koniec okresu</t>
  </si>
  <si>
    <t>7.7. Zysk (strata) z lat ubiegłych na koniec okresu</t>
  </si>
  <si>
    <t xml:space="preserve"> - zobowiązania długo-terminowe</t>
  </si>
  <si>
    <t xml:space="preserve"> - zobowiązania krótko-terminowe</t>
  </si>
  <si>
    <t>nazwa (firma) jednostki ze wskazaniem formy prawnej</t>
  </si>
  <si>
    <r>
      <t xml:space="preserve">ODPISY AKTUALIZUJĄCE - </t>
    </r>
    <r>
      <rPr>
        <i/>
        <sz val="11"/>
        <rFont val="Arial CE"/>
        <family val="2"/>
      </rPr>
      <t>FORMULARZ TEKSTOWY</t>
    </r>
  </si>
  <si>
    <t>Kwota kretydu /pożyczki wg umowy</t>
  </si>
  <si>
    <t xml:space="preserve">     Kwota kretydu /                               pozostała                     </t>
  </si>
  <si>
    <t>pożyczki          do spłaty</t>
  </si>
  <si>
    <t xml:space="preserve">   odniesioną bezpośrednio na kapitał własny lub kwotę odwrócenia odpisów aktualizujących, w tym odniesioną</t>
  </si>
  <si>
    <t xml:space="preserve">   bezpośrednio na kapitał własny</t>
  </si>
  <si>
    <t>NOTA 12</t>
  </si>
  <si>
    <t>KAPITAŁ ZAKŁADOWY (STRUKTURA)</t>
  </si>
  <si>
    <t>należne wpłaty na            kapitał zakładowy                    (wartość ujemna)</t>
  </si>
  <si>
    <t>kapitał zapasowy</t>
  </si>
  <si>
    <t xml:space="preserve">zysk (strata) z lat ubiegłych  </t>
  </si>
  <si>
    <t>zysk (strata) netto</t>
  </si>
  <si>
    <t xml:space="preserve">                                                       n</t>
  </si>
  <si>
    <t>I. Przychody netto ze sprzedaży produktów, towarów i materiałów</t>
  </si>
  <si>
    <t>III. Zysk (strata) brutto</t>
  </si>
  <si>
    <t>IV. Zysk (strata) netto</t>
  </si>
  <si>
    <t>BILANS</t>
  </si>
  <si>
    <t>nota</t>
  </si>
  <si>
    <t>AKTYWA</t>
  </si>
  <si>
    <t>1. Zapasy</t>
  </si>
  <si>
    <t>2. Należności krótkoterminowe</t>
  </si>
  <si>
    <t>Expertia Sp. z o.o.</t>
  </si>
  <si>
    <t>C. Przepływy środków pieniężnych z działalności finansowej</t>
  </si>
  <si>
    <t>1. Wpływy netto z emisji akcji (wydania udziałów) i innych instrumentów kapitałowych oraz dopłat do kapitału</t>
  </si>
  <si>
    <t>2. Kredyty i pożyczki</t>
  </si>
  <si>
    <t>3. Emisja dłużnych papierów wartościowych</t>
  </si>
  <si>
    <t>4. Inne wpływy finansowe</t>
  </si>
  <si>
    <t>1. Nabycie akcji (udziałów) własnych</t>
  </si>
  <si>
    <t>2. Dywidendy i inne wypłaty na rzecz właścicieli</t>
  </si>
  <si>
    <t>3. Inne, niż wpłaty na rzecz właścicieli, wydatki z tytułu podziału zysku</t>
  </si>
  <si>
    <t>4. Spłaty kredytów i pożyczek</t>
  </si>
  <si>
    <t>5. Wykup dłużnych papierów wartościowych</t>
  </si>
  <si>
    <t>6. Z tytułu innych zobowiązań finansowych</t>
  </si>
  <si>
    <t>7. Płatności zobowiązań z tytułu umów leasingu finansowego</t>
  </si>
  <si>
    <t>8. Odsetki</t>
  </si>
  <si>
    <t>9. Inne wydatki finansowe</t>
  </si>
  <si>
    <t>III. Przepływy pieniężne netto z działalności finansowej (I-II)</t>
  </si>
  <si>
    <t>D. Przepływy pieniężne netto, razem (A.III+/-B.III+/-C.III)</t>
  </si>
  <si>
    <t>E. Bilansowa zmiana stanu środków pieniężnych, w tym:</t>
  </si>
  <si>
    <t>F. Środki pieniężne na początek okresu</t>
  </si>
  <si>
    <t>G. Środki pieniężne na koniec okresu (F+/-D), w tym:</t>
  </si>
  <si>
    <t xml:space="preserve"> - zmiana stanu środków pieniężnych z tytułu różnic kursowych</t>
  </si>
  <si>
    <t xml:space="preserve"> - o ograniczonej możliwości dysponowania</t>
  </si>
  <si>
    <t>a) koszty zakończonych prac rozwojowych</t>
  </si>
  <si>
    <t>b) wartość firmy</t>
  </si>
  <si>
    <t xml:space="preserve">ZESTAWIENIE ZMIAN W KAPITALE </t>
  </si>
  <si>
    <t>a) zmiany przyjętych zasad (polityki) rachunkowości</t>
  </si>
  <si>
    <t>a) zwiększenia (z tytułu)</t>
  </si>
  <si>
    <t>b) zmniejszenia (z tytułu)</t>
  </si>
  <si>
    <t>8. Wynik netto</t>
  </si>
  <si>
    <t>a) zysk netto</t>
  </si>
  <si>
    <t>b) strata netto</t>
  </si>
  <si>
    <t xml:space="preserve"> -</t>
  </si>
  <si>
    <t xml:space="preserve"> - emisji akcji powyżej wartości nominalnej</t>
  </si>
  <si>
    <t xml:space="preserve"> - z podziału zysku (ustawowo)</t>
  </si>
  <si>
    <t xml:space="preserve"> - z podziału zysku (ponad wymaganą ustawowo minimalną wartość)</t>
  </si>
  <si>
    <t xml:space="preserve"> - pokrycia straty</t>
  </si>
  <si>
    <t>I. Zysk (strata) netto</t>
  </si>
  <si>
    <t>II. Korekty razem</t>
  </si>
  <si>
    <t>NOTA 1A</t>
  </si>
  <si>
    <t>NOTA 1B</t>
  </si>
  <si>
    <t>a) wartość brutto wartości niematerialnych i prawnych na początek okresu</t>
  </si>
  <si>
    <t>b) zwiększenia (z tytułu)</t>
  </si>
  <si>
    <t xml:space="preserve">       - z tytułu udziałów</t>
  </si>
  <si>
    <t>c) zmniejszenia (z tytułu)</t>
  </si>
  <si>
    <t>d) wartość brutto wartości niematerialnych i prawnych na koniec okresu</t>
  </si>
  <si>
    <t>f) amortyzacja za okres (z tytułu)</t>
  </si>
  <si>
    <t>g) skumulowana amortyzacja (umorzenie) na koniec okresu</t>
  </si>
  <si>
    <t>NOTA 2B</t>
  </si>
  <si>
    <t xml:space="preserve"> - urządzenia techniczne i maszyny</t>
  </si>
  <si>
    <t xml:space="preserve"> - środki transportu</t>
  </si>
  <si>
    <t>a) wartość brutto środków trwałych na początek okresu</t>
  </si>
  <si>
    <r>
      <t xml:space="preserve">PODZIAŁ ZYSKU </t>
    </r>
    <r>
      <rPr>
        <i/>
        <sz val="11"/>
        <rFont val="Arial CE"/>
        <family val="2"/>
      </rPr>
      <t>- FORMULARZ TEKSTOWY</t>
    </r>
  </si>
  <si>
    <r>
      <t xml:space="preserve">ZYSK NA 1 AKCJĘ </t>
    </r>
    <r>
      <rPr>
        <i/>
        <sz val="11"/>
        <rFont val="Arial CE"/>
        <family val="2"/>
      </rPr>
      <t>- FORMULARZ TEKSTOWY</t>
    </r>
  </si>
  <si>
    <t>NOTY OBJAŚNIAJĄCE DO RACHUNKU PRZEPŁYWÓW PIENIĘŻNYCH</t>
  </si>
  <si>
    <t>b) używane na podstawie umowy najmu, dzierżawy lub innej umowy, w tym umowy leasingu, w tym:</t>
  </si>
  <si>
    <t>NOTA 2A</t>
  </si>
  <si>
    <t>a) środki trwałe, w tym:</t>
  </si>
  <si>
    <t>b) środki trwałe w budowie</t>
  </si>
  <si>
    <t>c) zaliczki na środki trwałe w budowie</t>
  </si>
  <si>
    <t>Rzeczowe aktywa trwałe, razem</t>
  </si>
  <si>
    <t xml:space="preserve"> - budynki, lokale i obiekty inżynierii lądowej i wodnej</t>
  </si>
  <si>
    <t xml:space="preserve"> - grunty (w tym prawo użytkowania wieczystego gruntu)</t>
  </si>
  <si>
    <t xml:space="preserve"> - inne środki trwałe</t>
  </si>
  <si>
    <t>ZMIANY ŚRODKÓW TRWAŁYCH (wg grup rodzajowych)</t>
  </si>
  <si>
    <t>j) wartość netto środków trwałych na koniec okresu</t>
  </si>
  <si>
    <t>KWOTA NALEŻNOŚCI SPORNYCH I PRZETERMINOWANYCH, W TYM NIE OBJĘTE REZERWAMI ORAZ NIE WYKAZANE JAKO " NALEŻNOŚCI DOCHODZONE NA DRODZE SĄDOWEJ"</t>
  </si>
  <si>
    <t>1) należności sporne  objęte rezerwami ( z tytułu):</t>
  </si>
  <si>
    <t xml:space="preserve">  -dostaw i usług</t>
  </si>
  <si>
    <t>RACHUNEK PRZEPŁYWU ŚRODKÓW PIENIĘŻNYCH</t>
  </si>
  <si>
    <t>NOTA 3D</t>
  </si>
  <si>
    <t>b</t>
  </si>
  <si>
    <t>c</t>
  </si>
  <si>
    <t>d</t>
  </si>
  <si>
    <t>e</t>
  </si>
  <si>
    <t>f</t>
  </si>
  <si>
    <t>g</t>
  </si>
  <si>
    <t>h</t>
  </si>
  <si>
    <t>i</t>
  </si>
  <si>
    <t>j</t>
  </si>
  <si>
    <t>k</t>
  </si>
  <si>
    <t>l</t>
  </si>
  <si>
    <t>siedziba</t>
  </si>
  <si>
    <t xml:space="preserve">WYBRANE DANE FINANSOWE </t>
  </si>
  <si>
    <t>PRZYCHODY NETTO ZE SPRZEDAŻY PRODUKTÓW (STRUKTURA RZECZOWA - RODZAJE DZIAŁALNOŚCI)</t>
  </si>
  <si>
    <t xml:space="preserve">    - w tym: od jednostek powiązanych</t>
  </si>
  <si>
    <t>Przychody netto ze sprzedaży produktów, razem</t>
  </si>
  <si>
    <t>- w tym: od jednostek powiązanych</t>
  </si>
  <si>
    <t>NOTA 24B</t>
  </si>
  <si>
    <t>PRZYCHODY NETTO ZE SPRZEDAŻY PRODUKTÓW (STRUKTURA TERYTORIALNA)</t>
  </si>
  <si>
    <t>a) kraj</t>
  </si>
  <si>
    <t xml:space="preserve">    - w tym:  od jednostek powiązanych</t>
  </si>
  <si>
    <t>b) eksport</t>
  </si>
  <si>
    <t>PRZYCHODY NETTO ZE SPRZEDAŻY TOWARÓW I MATERIAŁÓW (STRUKTURA RZECZOWA - RODZAJE DZIAŁALNOŚCI)</t>
  </si>
  <si>
    <t>Przychody netto ze sprzedaży towarów i materiałów, razem</t>
  </si>
  <si>
    <t>PRZYCHODY NETTO ZE SPRZEDAŻY TOWARÓW I MATERIAŁÓW (STRUKTURA TERYTORIALNA)</t>
  </si>
  <si>
    <t>KOSZTY WEDŁUG RODZAJU</t>
  </si>
  <si>
    <t>c) usługi obce</t>
  </si>
  <si>
    <t>d) podatki i opłaty</t>
  </si>
  <si>
    <t>e) wynagrodzenia</t>
  </si>
  <si>
    <t>Podpisy osób reprezentujących Spółkę:</t>
  </si>
  <si>
    <t>Tomasz Czechowicz</t>
  </si>
  <si>
    <t>Prezes Zarządu</t>
  </si>
  <si>
    <t>Tomasz Czuczos</t>
  </si>
  <si>
    <t>Prokurent</t>
  </si>
  <si>
    <t>Podpis osoby odpowiedzialnej za sporządzenie raportu</t>
  </si>
  <si>
    <t>International Management &amp; Accounting Solutions. Sp. z o.o.</t>
  </si>
  <si>
    <t>Ewa Sobińska</t>
  </si>
  <si>
    <t>Zobowiązania warunkowe na rzecz jednostek powiązanych, razem</t>
  </si>
  <si>
    <t xml:space="preserve"> - na rzecz jednostek zależnych</t>
  </si>
  <si>
    <t xml:space="preserve"> - na rzecz jednostek współzależnych</t>
  </si>
  <si>
    <t xml:space="preserve"> - na rzecz jednostek stowarzyszonych</t>
  </si>
  <si>
    <t xml:space="preserve"> - na rzecz znaczącego inwestora</t>
  </si>
  <si>
    <t xml:space="preserve"> - na rzecz jednostki dominującej</t>
  </si>
  <si>
    <t>NOTA 24A</t>
  </si>
  <si>
    <t>Środki trwałe, razem</t>
  </si>
  <si>
    <t>Środki trwałe bilansowe, razem</t>
  </si>
  <si>
    <t>ŚRODKI TRWAŁE WYKAZANE POZABILANSOWO</t>
  </si>
  <si>
    <t>używane na podstawie umowy najmu, dzierżawy lub innej umowy, w tym umowy leasingu, w tym:</t>
  </si>
  <si>
    <t>NALEŻNOŚCI DŁUGOTERMINOWE</t>
  </si>
  <si>
    <t>a) należności od jednostek powiązanych, w tym:</t>
  </si>
  <si>
    <t>b) od pozostałych jednostek (z tytułu)</t>
  </si>
  <si>
    <t>c) odpisy aktualizujące wartość należności</t>
  </si>
  <si>
    <t>Należności długoterminowe brutto</t>
  </si>
  <si>
    <t>- wykazany w rachunku zysków i strat</t>
  </si>
  <si>
    <t>- dotyczący pozycji, które zmniejszyły lub zwiększyły kapitał własny</t>
  </si>
  <si>
    <t>- dotyczący pozycji, które zmniejszyły lub zwiększyły wartość firmy lub ujemną wartość firmy</t>
  </si>
  <si>
    <t>PODATEK DOCHODOWY ODROCZONY, WYKAZANY W RACHUNKU ZYSKÓW I STRAT</t>
  </si>
  <si>
    <t>Podatek dochodowy odroczony, razem</t>
  </si>
  <si>
    <t xml:space="preserve"> - zmniejszenie (zwiększenie) z tytułu powstania i odwrócenia się różnic przejściowych</t>
  </si>
  <si>
    <t xml:space="preserve"> - zmniejszenie (zwiększenie) z tytułu zmiany stawek podatkowych</t>
  </si>
  <si>
    <t xml:space="preserve"> - zmniejszenie (zwiększenie) z tytułu poprzednio nieujętej straty podatkowej, ulgi podatkowej lub różnicy przejściowej poprzedniego okresu</t>
  </si>
  <si>
    <t xml:space="preserve"> - plany opcji menadzerskich</t>
  </si>
  <si>
    <t xml:space="preserve"> - zobowiązanie inwestycyjne wobec spółki zależnej S4E S.A.</t>
  </si>
  <si>
    <t xml:space="preserve"> - inwestycyjne</t>
  </si>
  <si>
    <t xml:space="preserve">  - aktualizacja inwestycji krótkoterminowych</t>
  </si>
  <si>
    <t>1. Zysk (strata) brutto skonsolidowany</t>
  </si>
  <si>
    <t>2. Korekty konsolidacyjne</t>
  </si>
  <si>
    <t>3. Różnice pomiędzy zyskiem (stratą) brutto a podstawą opodatkowania podatkiem dochodowym (wg tytułów)</t>
  </si>
  <si>
    <t>4. Podstawa opodatkowania podatkiem dochodowym</t>
  </si>
  <si>
    <t>Przychody finansowe z tytułu odsetek, razem</t>
  </si>
  <si>
    <t xml:space="preserve"> - od pozostałych jednostek</t>
  </si>
  <si>
    <t>INNE PRZYCHODY FINANSOWE</t>
  </si>
  <si>
    <t>a) dodatnie różnice kursowe</t>
  </si>
  <si>
    <t>b) rozwiązanie rezerwy (z tytułu)</t>
  </si>
  <si>
    <t>c) pozostałe, w tym:</t>
  </si>
  <si>
    <t>Inne przychody finansowe, razem</t>
  </si>
  <si>
    <t xml:space="preserve"> - zrealizowane</t>
  </si>
  <si>
    <t xml:space="preserve"> - niezrealizowane</t>
  </si>
  <si>
    <t>KOSZTY FINANSOWE Z TYTUŁU ODSETEK</t>
  </si>
  <si>
    <t>a) od kredytów i pożyczek</t>
  </si>
  <si>
    <t>- dla jednostek powiązanych, w tym:</t>
  </si>
  <si>
    <t>Koszty finansowe z tytułu odsetek, razem</t>
  </si>
  <si>
    <t xml:space="preserve"> - dla jednostek zależnych</t>
  </si>
  <si>
    <t xml:space="preserve"> - dla jednostek współzależnych</t>
  </si>
  <si>
    <t xml:space="preserve"> - dla jednostek stowarzyszonych</t>
  </si>
  <si>
    <t xml:space="preserve"> - dla znaczącego inwestora</t>
  </si>
  <si>
    <t xml:space="preserve"> - dla jednostki dominującej</t>
  </si>
  <si>
    <t xml:space="preserve"> - dla innych jednostek</t>
  </si>
  <si>
    <t>INNE KOSZTY FINANSOWE</t>
  </si>
  <si>
    <t>b) utworzone rezerwy (z tytułu)</t>
  </si>
  <si>
    <t>Inne koszty finansowe, razem</t>
  </si>
  <si>
    <t>NOTA 31</t>
  </si>
  <si>
    <t xml:space="preserve"> - odpis ujemnej wartości firmy jednostek podporządkowanych</t>
  </si>
  <si>
    <t xml:space="preserve"> - odpis różnicy w wycenie aktywów netto</t>
  </si>
  <si>
    <t>Należy przedstawić sposób podziału zysku lub pokrycia straty za prezentowane lata obrotowe, a w przypadku niezakończonego roku obrotowego - propozycję podziału zysku lub pokrycia straty, ujawniając, odpowiednie dla ustalenia wielkości zysku lub straty, dane liczbowe</t>
  </si>
  <si>
    <t>NOTA 38</t>
  </si>
  <si>
    <t xml:space="preserve">       - w tym: od jednostek powiązanych</t>
  </si>
  <si>
    <t>Należy przedstawić dodatkowe dane objaśniające sposób obliczenia zysku (straty) na jedną akcję zwykłą oraz rozwodnionego zysku (straty) na jedną akcję zwykłą z uwzględnieniem podziału na wszystkie rodzaje akcji zwykłych, które różnią się między sobą prawem udziału w zysku netto danego okresu</t>
  </si>
  <si>
    <t>Należy zdefiniować środki pieniężne przyjęte do rachunku przepływów pieniężnych, przedstawiając ich strukturę na początek i koniec okresu</t>
  </si>
  <si>
    <t>W przypadku wystąpienia niezgodności pomiędzy bilansowymi zmianami stanu niektórych pozycji oraz zmianami stanu tych pozycji wykazanymi w rachunku przepływów pieniężnych, należy wskazać ich przyczyny</t>
  </si>
  <si>
    <t>c) dochodzone na drodze sądowej, w tym:</t>
  </si>
  <si>
    <t>Należności krótkoterminowe od jednostek powiązanych netto, razem</t>
  </si>
  <si>
    <t>d) odpisy aktualizujące wartość należności od jednostek powiązanych</t>
  </si>
  <si>
    <t>Należności krótkoterminowe od jednostek powiązanych brutto, razem</t>
  </si>
  <si>
    <t xml:space="preserve"> - od jednostek zależnych</t>
  </si>
  <si>
    <t xml:space="preserve"> - od jednostek współzależnych</t>
  </si>
  <si>
    <t xml:space="preserve"> - od jednostek stowarzyszonych</t>
  </si>
  <si>
    <t xml:space="preserve"> - od znaczącego inwestora</t>
  </si>
  <si>
    <t xml:space="preserve"> - od jednostki dominującej</t>
  </si>
  <si>
    <t>ZMIANA STANU ODPISÓW AKTUALIZUJĄCYCH WARTOŚĆ NALEŻNOŚCI KRÓTKOTERMINOWYCH</t>
  </si>
  <si>
    <t>Stan odpisów aktualizujących wartość należności krótkoterminowych na koniec okresu</t>
  </si>
  <si>
    <t>NALEŻNOŚCI KRÓTKOTERMINOWE BRUTTO (STRUKTURA WALUTOWA)</t>
  </si>
  <si>
    <t>Należności krótkoterminowe, razem</t>
  </si>
  <si>
    <t>NALEŻNOŚCI Z TYTUŁU DOSTAW I USŁUG (BRUTTO) - O POZOSTAŁYM OD DNIA BILANSOWEGO OKRESIE SPŁATY:</t>
  </si>
  <si>
    <t xml:space="preserve"> - powstanie różnic przejściowych</t>
  </si>
  <si>
    <t xml:space="preserve"> - lokaty </t>
  </si>
  <si>
    <t xml:space="preserve"> - odsetki od pożyczek</t>
  </si>
  <si>
    <t xml:space="preserve"> - wycena krótkoterminowych papierów wartościowych</t>
  </si>
  <si>
    <t xml:space="preserve">      - inne</t>
  </si>
  <si>
    <t xml:space="preserve"> - usługi serwisowe</t>
  </si>
  <si>
    <t xml:space="preserve"> - usługi instalacyjne</t>
  </si>
  <si>
    <t xml:space="preserve"> - usługi projektowe i inne</t>
  </si>
  <si>
    <t>g) pozostałe koszty rodzajowe</t>
  </si>
  <si>
    <t xml:space="preserve">1. Informacje o instrumentach finansowych </t>
  </si>
  <si>
    <t>a) ujemne różnice kursowe, w tym:</t>
  </si>
  <si>
    <t>Średni kurs w okresie *</t>
  </si>
  <si>
    <t>Minimalny kurs w okresie</t>
  </si>
  <si>
    <t>Maksymalny kurs w okresie</t>
  </si>
  <si>
    <t>tys. EUR</t>
  </si>
  <si>
    <t>1.1. W odniesieniu wszystkich aktywów i zobowiązań finansowych należy przedstawić instrumenty finansowe z podziałem na:</t>
  </si>
  <si>
    <t xml:space="preserve">a) aktywa finansowe przeznaczone do obrotu       </t>
  </si>
  <si>
    <t>b) zobowiązania finansowe przeznaczone do obrotu</t>
  </si>
  <si>
    <t xml:space="preserve">c) pożyczki udzielone i należności własne </t>
  </si>
  <si>
    <t>d) aktywa finansowe utrzymywane do terminu wymagalności</t>
  </si>
  <si>
    <t>e) aktywa finansowe dostępne do sprzedaży</t>
  </si>
  <si>
    <t>- przedstawiając stan na początek okresu, zwiększenia i zmniejszenia, ze wskazaniem tytułów, oraz stan na koniec okresu, z uwzględnieniem podziału na poszczególne grupy aktywów i zobowiązań, według podziału przyjętego w bilansie</t>
  </si>
  <si>
    <t xml:space="preserve">1.2. Ponadto odnośnie wszystkich aktywów i zobowiązań finansowych, w podziale odpowiednio według kategorii instrumentów finansowych, określonych w pkt 1.1., oraz z uwzględnieniem podziału na grupy (klasy) aktywów i zobowiązań finansowych: </t>
  </si>
  <si>
    <t>1.2.1. Należy zamieścić:</t>
  </si>
  <si>
    <t xml:space="preserve">     - niewykorzystanie rezerwy</t>
  </si>
  <si>
    <t xml:space="preserve">     - spłata zobowiązania</t>
  </si>
  <si>
    <t xml:space="preserve"> - inne krótkoterminowe aktywa finansowe (wg rodzaju)</t>
  </si>
  <si>
    <t xml:space="preserve"> - należności z tytułu dywidend i innych udziałów w zyskach</t>
  </si>
  <si>
    <t>g) środki pieniężne i inne aktywa pieniężne</t>
  </si>
  <si>
    <t>Krótkoterminowe aktywa finansowe, razem</t>
  </si>
  <si>
    <t xml:space="preserve"> - inne środki pieniężne</t>
  </si>
  <si>
    <t xml:space="preserve"> - środki pieniężne w kasie i na rachunkach</t>
  </si>
  <si>
    <t xml:space="preserve"> - inne aktywa pieniężne</t>
  </si>
  <si>
    <t>Świadczenie usług doradczych i ubezpieczeniowych z wykorzystaniem internetu, pośrednictwo ubezpieczeniowe z wykorzystaniem internetu</t>
  </si>
  <si>
    <t>24 lipca 2002</t>
  </si>
  <si>
    <t>11.</t>
  </si>
  <si>
    <t>GeoTec Sp. z o.o.</t>
  </si>
  <si>
    <t>Projektowanie i wdrażanie oprogramowania komputerowego w zakresie systemów informacji przestrzennej</t>
  </si>
  <si>
    <t>1 listopada 2002</t>
  </si>
  <si>
    <t>- szacowanej maksymalnej kwocie straty na jaką jednostka jest narażona, bez uwzględniania wartości godziwej jakichkolwiek przyjętych lub poczynionych zabezpieczeń, w przypadku gdyby wierzyciel nie wywiązał się ze świadczenia</t>
  </si>
  <si>
    <t>Zobowiązania pozabilansowe</t>
  </si>
  <si>
    <t xml:space="preserve">III. Przepływy pieniężne netto z działalności operacyjnej (I+/-II) </t>
  </si>
  <si>
    <t xml:space="preserve">NOTY OBJAŚNIAJĄCE </t>
  </si>
  <si>
    <t>Noty objaśniające do bilansu</t>
  </si>
  <si>
    <t>zaliczki na wartości niematerialne       i prawne</t>
  </si>
  <si>
    <t>inne wartości niematerialne         i prawne</t>
  </si>
  <si>
    <t xml:space="preserve">zastosowana metoda konsolidacji /wycena metodą praw własności, bądź wskazanie, że jednostka nie podlega konsolidacji / wycenie metodą praw własności </t>
  </si>
  <si>
    <t>data objęcia kontroli / współkontroli / uzyskania znaczącego wpływu</t>
  </si>
  <si>
    <t>wartość udziałów / akcji według ceny nabycia</t>
  </si>
  <si>
    <t>korekty aktualizujące wartość (razem)</t>
  </si>
  <si>
    <t>wartość bilansowa udziałów / akcji</t>
  </si>
  <si>
    <t>procent posiadanego kapitału zakładowego</t>
  </si>
  <si>
    <t xml:space="preserve">wskazanie innej niż określona pod lit. j) lub k), podstawy kontroli / współkontroli / znaczacego wpływu </t>
  </si>
  <si>
    <t xml:space="preserve">    - długoterminowe w okresie spłaty</t>
  </si>
  <si>
    <t xml:space="preserve"> - z tytułu dywidend</t>
  </si>
  <si>
    <t>Wartość serii / emisji wg wartości nominalnej</t>
  </si>
  <si>
    <t>Sposób pokrycia kapitału</t>
  </si>
  <si>
    <t>Data rejestracji</t>
  </si>
  <si>
    <t>Prawo do dywidendy (od daty)</t>
  </si>
  <si>
    <t>Liczba akcji, razem</t>
  </si>
  <si>
    <t>Kapitał zakładowy, razem</t>
  </si>
  <si>
    <t>AKCJE (UDZIAŁY) WŁASNE</t>
  </si>
  <si>
    <t>Liczba</t>
  </si>
  <si>
    <t>Wartość wg cen nabycia</t>
  </si>
  <si>
    <t>Wartość bilansowa</t>
  </si>
  <si>
    <t>Cel nabycia</t>
  </si>
  <si>
    <t>Przeznaczenie</t>
  </si>
  <si>
    <t>AKCJE (UDZIAŁY) EMITENTA BĘDĄCE WŁASNOŚCIĄ JEDNOSTEK PODPORZĄDKOWANYCH</t>
  </si>
  <si>
    <t>Nazwa (firma) jednostki, siedziba</t>
  </si>
  <si>
    <t xml:space="preserve">  - koszty dotyczące okresu od 01.01.2004 r.</t>
  </si>
  <si>
    <t>1.</t>
  </si>
  <si>
    <t xml:space="preserve">Bankier.pl S.A. </t>
  </si>
  <si>
    <t>ul.Świdnicka 13, Wrocław</t>
  </si>
  <si>
    <t>Świadczenie usług finansowych z wykorzystaniem inetrnetu,handel i pośrednictwo handlowe z wykorzystaniem internetu</t>
  </si>
  <si>
    <t>Stowarzyszona</t>
  </si>
  <si>
    <t>29 marca 2000</t>
  </si>
  <si>
    <t>2.</t>
  </si>
  <si>
    <t xml:space="preserve">CCS S.A. </t>
  </si>
  <si>
    <t>ul.Bema 15, Wrocław</t>
  </si>
  <si>
    <t>Projektowanie systemów informatycznych, sprzedaż sprzętu komputerowego</t>
  </si>
  <si>
    <t>Zależna</t>
  </si>
  <si>
    <t>Pełna</t>
  </si>
  <si>
    <t>16 listopada 1999</t>
  </si>
  <si>
    <t>3.</t>
  </si>
  <si>
    <t>4.</t>
  </si>
  <si>
    <t>Process4e S.A.</t>
  </si>
  <si>
    <t xml:space="preserve">     - rezerwa na dodatkowe koszty 2002</t>
  </si>
  <si>
    <t xml:space="preserve"> - usługi lokalowe</t>
  </si>
  <si>
    <t>ul.Wołoska 52/16, Warszawa</t>
  </si>
  <si>
    <t>Świadczenie usług w zakresieoprogramowania, świadzcenie usług w zakresie przetwarzania danych</t>
  </si>
  <si>
    <t>25 lipca 2001</t>
  </si>
  <si>
    <t>9.</t>
  </si>
  <si>
    <t xml:space="preserve">S4e S.A. </t>
  </si>
  <si>
    <t>ul.Wadowicka 8w, Kraków</t>
  </si>
  <si>
    <t>4. (Zyski) straty z tytułu różnic kursowych</t>
  </si>
  <si>
    <t>5. Odsetki i udziały w zyskach (dywidendy)</t>
  </si>
  <si>
    <t>6. (Zysk) strata z działalności inwestycyjnej</t>
  </si>
  <si>
    <t>7. Zmiana stanu rezerw</t>
  </si>
  <si>
    <t>8. Zmiana stanu zapasów</t>
  </si>
  <si>
    <t>9. Zmiana stanu należności</t>
  </si>
  <si>
    <t>10. Zmiana stanu zobowiązań krótkoterminowych, z wyjątkiem pożyczek i kredytów</t>
  </si>
  <si>
    <t>11. Zmiana stanu rozliczeń międzyokresowych</t>
  </si>
  <si>
    <t>12. Inne korekty</t>
  </si>
  <si>
    <t xml:space="preserve">BH O/Wrocław </t>
  </si>
  <si>
    <t>UDZIAŁY LUB AKCJE W POZOSTAŁYCH JEDNOSTKACH</t>
  </si>
  <si>
    <t xml:space="preserve">                                 e</t>
  </si>
  <si>
    <t>kapitał własny jednostki, w tym:</t>
  </si>
  <si>
    <t xml:space="preserve"> - kapitał zakładowy</t>
  </si>
  <si>
    <t>% posiadanego kapitału zakładowego</t>
  </si>
  <si>
    <t>nieopłacona przez emitenta wartość udziałów / akcji</t>
  </si>
  <si>
    <t>otrzymane lub należne dywidendy za ostatni rok obrotowy</t>
  </si>
  <si>
    <t>PAPIERY WARTOŚCIOWE, UDZIAŁY I INNE DŁUGOTERMINOWE AKTYWA FINANSOWE (STRUKTURA WALUTOWA)</t>
  </si>
  <si>
    <t>Papiery wartościowe, udziały i inne długoterminowe aktywa finansowe, razem</t>
  </si>
  <si>
    <t>PAPIERY WARTOŚCIOWE, UDZIAŁY I INNE DŁUGOTERMINOWE AKTYWA FINANSOWE (WEDŁUG ZBYWALNOŚCI)</t>
  </si>
  <si>
    <t>A. Z nieograniczoną zbywalnością, notowane na giełdach (wartość bilansowa)</t>
  </si>
  <si>
    <t>a) akcje (wartość bilansowa):</t>
  </si>
  <si>
    <t>b) obligacje (wartość bilansowa):</t>
  </si>
  <si>
    <t>c) inne - wg grup rodzajowych (wartość bilansowa):</t>
  </si>
  <si>
    <t xml:space="preserve">c1 ... </t>
  </si>
  <si>
    <t xml:space="preserve"> - korekty aktualizujące wartość (za okres)</t>
  </si>
  <si>
    <t xml:space="preserve"> - wartość na początek okresu</t>
  </si>
  <si>
    <t xml:space="preserve"> - wartość według cen nabycia</t>
  </si>
  <si>
    <t xml:space="preserve">  - wartość na początek okresu</t>
  </si>
  <si>
    <t>B. Z nieograniczoną zbywalnością, notowane na rynkach pozagiełdowych (wartość bilansowa)</t>
  </si>
  <si>
    <t>C. Z nieograniczoną zbywalnością, nienotowane na rynku regulowanym (wartość bilansowa)</t>
  </si>
  <si>
    <t>D. Z ograniczoną zbywalnością (wartość bilansowa)</t>
  </si>
  <si>
    <t>a) udziały i akcje (wartość bilansowa):</t>
  </si>
  <si>
    <t>Wartość według cen nabycia, razem</t>
  </si>
  <si>
    <t>Wartość na początek okresu, razem</t>
  </si>
  <si>
    <t>Korekty aktualizujące wartość (za okres), razem</t>
  </si>
  <si>
    <t>Wartość bilansowa, razem</t>
  </si>
  <si>
    <t>UDZIELONE POŻYCZKI DŁUGOTERMINOWE (STRUKTURA WALUTOWA)</t>
  </si>
  <si>
    <t>Udzielone pożyczki długoterminowe, razem</t>
  </si>
  <si>
    <t>INNE INWESTYCJE DŁUGOTERMINOWE (WG RODZAJU)</t>
  </si>
  <si>
    <t>Inne inwestycje długoterminowe, razem</t>
  </si>
  <si>
    <t>ZMIANA STANU INNYCH INWESTYCJI DŁUGOTERMINOWYCH (WG GRUP RODZAJOWYCH)</t>
  </si>
  <si>
    <t>INNE INWESTYCJE DŁUGOTERMINOWE (STRUKTURA WALUTOWA)</t>
  </si>
  <si>
    <t>NOTA 5A</t>
  </si>
  <si>
    <t>ZMIANA STANU AKTYWÓW Z TYTUŁU ODROCZONEGO PODATKU DOCHODOWEGO</t>
  </si>
  <si>
    <t>1. Stan aktywów z tytułu odroczonego podatku dochodowego na początek okresu, w tym:</t>
  </si>
  <si>
    <t>a) odniesionych na wynik finansowy</t>
  </si>
  <si>
    <t>b) odniesionych na kapitał własny</t>
  </si>
  <si>
    <t>c) odniesionych na wartość firmy lub ujemną wartość firmy</t>
  </si>
  <si>
    <t>2. Zwiększenia</t>
  </si>
  <si>
    <t>a) odniesione na wynik finansowy okresu w związku z ujemnymi różnicami przejściowymi (z tytułu)</t>
  </si>
  <si>
    <t>b) odniesione na wynik finansowy okresu w związku ze stratą podatkową (z tytułu)</t>
  </si>
  <si>
    <t>c) odniesione na kapitał własny w związku z ujemnymi różnicami przejściowymi (z tytułu)</t>
  </si>
  <si>
    <t>d) odniesione na kapitał własny w związku ze stratą podatkową (z tytułu)</t>
  </si>
  <si>
    <t>e) odniesione na wartość firmy lub ujemną wartość firmy w związku z ujemnymi różnicami przejściowymi (z tytułu)</t>
  </si>
  <si>
    <t>3. Zmniejszenia</t>
  </si>
  <si>
    <t>4. Stan aktywów z tytułu odroczonego podatku dochodowego na koniec okresu, razem, w tym:</t>
  </si>
  <si>
    <t>NOTA 5B</t>
  </si>
  <si>
    <t>INNE ROZLICZENIA MIĘDZYOKRESOWE</t>
  </si>
  <si>
    <t>a) czynne rozliczenia międzyokresowe kosztów, w tym:</t>
  </si>
  <si>
    <t>b) pozostałe rozliczenia międzyokresowe, w tym:</t>
  </si>
  <si>
    <t>Inne rozliczenia międzyokresowe, razem</t>
  </si>
  <si>
    <t>ZAPASY</t>
  </si>
  <si>
    <t>a) materiały</t>
  </si>
  <si>
    <t>b) półprodukty i produkty w toku</t>
  </si>
  <si>
    <t>c) produkty gotowe</t>
  </si>
  <si>
    <t>d) towary</t>
  </si>
  <si>
    <t>e) zaliczki na dostawy</t>
  </si>
  <si>
    <t>Zapasy, razem</t>
  </si>
  <si>
    <t>- metody praw własności - należy przedstawić skutki, jakie spowodowałoby jej zastosowanie, oraz wpływ na wynik finansowy</t>
  </si>
  <si>
    <t>Ponadto w przypadku innych dodatkowych informacji niż wskazane powyżej, wymaganych na podstawie obowiązujących przepisów o rachunkowości, lub innych informacji, mogących w istotny sposób wpłynąć na ocenę sytuacji majątkowej, finansowej, wyniku finansowego i ich zmian – należy ujawnić te informacje w odpowiedniej części sprawozdania finansowego</t>
  </si>
  <si>
    <t xml:space="preserve"> - zakres i charakter instrumentu</t>
  </si>
  <si>
    <t xml:space="preserve"> - cel nabywania lub wystawiania instrumentu - np. zabezpieczenie</t>
  </si>
  <si>
    <t xml:space="preserve"> - kwotę (wielkość) będącą podstawą obliczenia przyszłych płatności</t>
  </si>
  <si>
    <t xml:space="preserve"> - sumę i termin przyszłych przychodów lub płatności kasowych</t>
  </si>
  <si>
    <t xml:space="preserve"> - termin ustalania cen, zapadalności, wygaśnięcia lub wykonania instrumentu</t>
  </si>
  <si>
    <t xml:space="preserve"> - możliwości wcześniejszego rozliczenia - okres lub dzień - jeśli istnieją</t>
  </si>
  <si>
    <t xml:space="preserve"> - cenę lub przedział cen realizacji instrumentu</t>
  </si>
  <si>
    <t xml:space="preserve"> - możliwości wymiany lub zamiany na inny składnik aktywów lub pasywów</t>
  </si>
  <si>
    <t xml:space="preserve"> - ustaloną stopę lub kwotę odsetek, dywidendy lub innych przychodów oraz terminu ich płatności</t>
  </si>
  <si>
    <t xml:space="preserve"> - dodatkowe zabezpieczenia związane z tym instrumentem, przyjęte lub złożone</t>
  </si>
  <si>
    <t xml:space="preserve"> - w/w informacji również dla instrumentu, na który dany instrument może być zamieniony</t>
  </si>
  <si>
    <t xml:space="preserve"> - inne warunki towarzyszące danemu instrumentowi</t>
  </si>
  <si>
    <t xml:space="preserve"> - rodzaj ryzyka związanego z instrumentem</t>
  </si>
  <si>
    <t xml:space="preserve"> - wcześniej przypadającym terminie wykupu lub wynikającym z umowy terminie przeszacowania wartośc</t>
  </si>
  <si>
    <t xml:space="preserve"> - efektywnej stopie procentowej, jeżeli jej ustalenie jest zasadne</t>
  </si>
  <si>
    <t xml:space="preserve"> - koncentracji ryzyka kredytowego </t>
  </si>
  <si>
    <t>a) opis zabezpieczanej pozycji, w tym przewidywany okres do zajścia planowanej transakcji lub powstania przyszłego zobowiązania</t>
  </si>
  <si>
    <t>c) kwoty wszelkich odroczonych lub nienaliczonych zysków lub strat i przewidywany termin uznania ich za przychody lub koszty finansowe</t>
  </si>
  <si>
    <t>3. Dane dotyczące zobowiązań wobec budżetu państwa lub jednostek samorządu terytorialnego z tytułu uzyskania prawa własności budynków i budowli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</si>
</sst>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_ ;[Red]\-0\ "/>
    <numFmt numFmtId="166" formatCode="#,##0.0_ ;[Red]\-#,##0.0\ "/>
    <numFmt numFmtId="167" formatCode="#,##0_ ;[Red]\-#,##0\ "/>
    <numFmt numFmtId="168" formatCode="#,##0.000_ ;[Red]\-#,##0.000\ "/>
    <numFmt numFmtId="169" formatCode="0.0000"/>
    <numFmt numFmtId="170" formatCode="#,##0.0"/>
    <numFmt numFmtId="171" formatCode="#,##0.000"/>
    <numFmt numFmtId="172" formatCode="#,##0.0000"/>
    <numFmt numFmtId="173" formatCode="mm/dd/yy"/>
    <numFmt numFmtId="174" formatCode="#,##0;[Red]\(#,##0\)"/>
    <numFmt numFmtId="175" formatCode="#,##0.0;[Red]\(#,##0.0\)"/>
    <numFmt numFmtId="176" formatCode="#,##0.00;[Red]\(#,##0.00\)"/>
    <numFmt numFmtId="177" formatCode="&quot;Tak&quot;;&quot;Tak&quot;;&quot;Nie&quot;"/>
    <numFmt numFmtId="178" formatCode="&quot;Prawda&quot;;&quot;Prawda&quot;;&quot;Fałsz&quot;"/>
    <numFmt numFmtId="179" formatCode="&quot;Włączone&quot;;&quot;Włączone&quot;;&quot;Wyłączone&quot;"/>
  </numFmts>
  <fonts count="34">
    <font>
      <sz val="10"/>
      <name val="Arial CE"/>
      <family val="0"/>
    </font>
    <font>
      <b/>
      <sz val="14"/>
      <name val="Arial CE"/>
      <family val="2"/>
    </font>
    <font>
      <sz val="11"/>
      <name val="Arial CE"/>
      <family val="2"/>
    </font>
    <font>
      <b/>
      <sz val="10"/>
      <name val="Arial CE"/>
      <family val="2"/>
    </font>
    <font>
      <b/>
      <sz val="12"/>
      <name val="Arial CE"/>
      <family val="2"/>
    </font>
    <font>
      <sz val="9"/>
      <name val="Arial CE"/>
      <family val="2"/>
    </font>
    <font>
      <b/>
      <sz val="9"/>
      <name val="Arial CE"/>
      <family val="2"/>
    </font>
    <font>
      <sz val="8"/>
      <name val="Arial CE"/>
      <family val="2"/>
    </font>
    <font>
      <i/>
      <sz val="10"/>
      <name val="Arial CE"/>
      <family val="2"/>
    </font>
    <font>
      <sz val="12"/>
      <name val="Arial CE"/>
      <family val="2"/>
    </font>
    <font>
      <b/>
      <sz val="11"/>
      <name val="Arial CE"/>
      <family val="2"/>
    </font>
    <font>
      <i/>
      <sz val="11"/>
      <name val="Arial CE"/>
      <family val="2"/>
    </font>
    <font>
      <b/>
      <sz val="9"/>
      <name val="Arial"/>
      <family val="2"/>
    </font>
    <font>
      <sz val="10"/>
      <name val="Arial"/>
      <family val="2"/>
    </font>
    <font>
      <sz val="8"/>
      <name val="Arial"/>
      <family val="2"/>
    </font>
    <font>
      <sz val="9"/>
      <name val="Arial"/>
      <family val="2"/>
    </font>
    <font>
      <sz val="9"/>
      <name val="Times New Roman CE"/>
      <family val="0"/>
    </font>
    <font>
      <b/>
      <sz val="12"/>
      <name val="Times New Roman CE"/>
      <family val="1"/>
    </font>
    <font>
      <sz val="12"/>
      <name val="Times New Roman CE"/>
      <family val="1"/>
    </font>
    <font>
      <sz val="10"/>
      <color indexed="48"/>
      <name val="Arial CE"/>
      <family val="2"/>
    </font>
    <font>
      <sz val="10"/>
      <color indexed="10"/>
      <name val="Arial CE"/>
      <family val="2"/>
    </font>
    <font>
      <b/>
      <sz val="11"/>
      <color indexed="10"/>
      <name val="Arial CE"/>
      <family val="2"/>
    </font>
    <font>
      <sz val="11"/>
      <color indexed="10"/>
      <name val="Arial CE"/>
      <family val="2"/>
    </font>
    <font>
      <sz val="11"/>
      <color indexed="48"/>
      <name val="Arial CE"/>
      <family val="2"/>
    </font>
    <font>
      <sz val="11"/>
      <color indexed="12"/>
      <name val="Arial CE"/>
      <family val="2"/>
    </font>
    <font>
      <sz val="10"/>
      <color indexed="12"/>
      <name val="Arial CE"/>
      <family val="2"/>
    </font>
    <font>
      <b/>
      <sz val="8"/>
      <name val="Tahoma"/>
      <family val="0"/>
    </font>
    <font>
      <sz val="8"/>
      <name val="Tahoma"/>
      <family val="0"/>
    </font>
    <font>
      <u val="single"/>
      <sz val="10"/>
      <color indexed="12"/>
      <name val="Arial CE"/>
      <family val="0"/>
    </font>
    <font>
      <u val="single"/>
      <sz val="10"/>
      <color indexed="36"/>
      <name val="Arial CE"/>
      <family val="0"/>
    </font>
    <font>
      <sz val="10"/>
      <name val="Times New Roman CE"/>
      <family val="1"/>
    </font>
    <font>
      <sz val="10"/>
      <name val="Times New Roman"/>
      <family val="1"/>
    </font>
    <font>
      <sz val="12"/>
      <name val="Times New Roman"/>
      <family val="1"/>
    </font>
    <font>
      <b/>
      <sz val="8"/>
      <name val="Arial CE"/>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7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medium"/>
      <top>
        <color indexed="63"/>
      </top>
      <bottom>
        <color indexed="63"/>
      </bottom>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medium"/>
      <right style="thin"/>
      <top style="thin"/>
      <bottom>
        <color indexed="63"/>
      </bottom>
    </border>
    <border>
      <left style="medium"/>
      <right>
        <color indexed="63"/>
      </right>
      <top style="thin"/>
      <bottom>
        <color indexed="63"/>
      </bottom>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thin"/>
      <bottom style="medium"/>
    </border>
    <border>
      <left>
        <color indexed="63"/>
      </left>
      <right style="thin"/>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thin"/>
      <top style="medium"/>
      <bottom>
        <color indexed="63"/>
      </bottom>
    </border>
    <border>
      <left style="thin"/>
      <right style="thin"/>
      <top>
        <color indexed="63"/>
      </top>
      <bottom style="medium"/>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13" fillId="0" borderId="0">
      <alignment/>
      <protection/>
    </xf>
    <xf numFmtId="0" fontId="0" fillId="0" borderId="0">
      <alignment/>
      <protection/>
    </xf>
    <xf numFmtId="0" fontId="2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4">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Border="1" applyAlignment="1">
      <alignment/>
    </xf>
    <xf numFmtId="0" fontId="0" fillId="0" borderId="0" xfId="0" applyAlignment="1">
      <alignment horizontal="center"/>
    </xf>
    <xf numFmtId="0" fontId="0" fillId="0" borderId="0" xfId="0" applyAlignment="1">
      <alignment horizontal="righ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center"/>
    </xf>
    <xf numFmtId="4" fontId="0" fillId="0" borderId="1" xfId="0" applyNumberFormat="1" applyBorder="1" applyAlignment="1">
      <alignment horizontal="right"/>
    </xf>
    <xf numFmtId="4" fontId="0" fillId="0" borderId="4" xfId="0" applyNumberFormat="1" applyBorder="1" applyAlignment="1">
      <alignment horizontal="right"/>
    </xf>
    <xf numFmtId="0" fontId="0" fillId="0" borderId="5" xfId="0" applyBorder="1" applyAlignment="1">
      <alignment/>
    </xf>
    <xf numFmtId="0" fontId="0" fillId="0" borderId="4" xfId="0" applyBorder="1" applyAlignment="1">
      <alignment/>
    </xf>
    <xf numFmtId="0" fontId="0" fillId="0" borderId="6" xfId="0" applyBorder="1" applyAlignment="1">
      <alignment/>
    </xf>
    <xf numFmtId="0" fontId="4" fillId="0" borderId="0" xfId="0" applyFont="1" applyAlignment="1">
      <alignment/>
    </xf>
    <xf numFmtId="0" fontId="3" fillId="2" borderId="1" xfId="0" applyFont="1" applyFill="1" applyBorder="1" applyAlignment="1">
      <alignment horizontal="right" vertical="top" wrapText="1"/>
    </xf>
    <xf numFmtId="0" fontId="0" fillId="2" borderId="7" xfId="0" applyFill="1" applyBorder="1" applyAlignment="1">
      <alignment/>
    </xf>
    <xf numFmtId="0" fontId="0" fillId="2" borderId="8" xfId="0" applyFill="1" applyBorder="1" applyAlignment="1">
      <alignment/>
    </xf>
    <xf numFmtId="0" fontId="3" fillId="2" borderId="9" xfId="0" applyFont="1" applyFill="1" applyBorder="1" applyAlignment="1">
      <alignment horizontal="right" vertical="top" wrapText="1"/>
    </xf>
    <xf numFmtId="0" fontId="0" fillId="2" borderId="10" xfId="0" applyFill="1" applyBorder="1" applyAlignment="1">
      <alignment/>
    </xf>
    <xf numFmtId="0" fontId="3" fillId="2" borderId="10" xfId="0" applyFont="1" applyFill="1" applyBorder="1" applyAlignment="1">
      <alignment horizontal="right" vertical="top" wrapText="1"/>
    </xf>
    <xf numFmtId="0" fontId="3" fillId="0" borderId="0" xfId="0" applyFont="1" applyAlignment="1">
      <alignment horizontal="left"/>
    </xf>
    <xf numFmtId="0" fontId="3" fillId="2" borderId="5" xfId="0" applyFont="1" applyFill="1" applyBorder="1" applyAlignment="1">
      <alignment horizontal="right"/>
    </xf>
    <xf numFmtId="0" fontId="5" fillId="0" borderId="0" xfId="0" applyFont="1" applyAlignment="1">
      <alignment/>
    </xf>
    <xf numFmtId="0" fontId="0" fillId="0" borderId="0" xfId="0" applyBorder="1" applyAlignment="1">
      <alignment/>
    </xf>
    <xf numFmtId="0" fontId="0" fillId="2" borderId="11" xfId="0" applyFill="1" applyBorder="1" applyAlignment="1">
      <alignment/>
    </xf>
    <xf numFmtId="0" fontId="0" fillId="2" borderId="12" xfId="0" applyFill="1" applyBorder="1" applyAlignment="1">
      <alignment/>
    </xf>
    <xf numFmtId="0" fontId="3" fillId="2" borderId="13" xfId="0" applyFont="1" applyFill="1" applyBorder="1" applyAlignment="1">
      <alignment horizontal="right" vertical="top" wrapText="1"/>
    </xf>
    <xf numFmtId="0" fontId="0" fillId="2" borderId="14" xfId="0" applyFill="1" applyBorder="1" applyAlignment="1">
      <alignment/>
    </xf>
    <xf numFmtId="0" fontId="0" fillId="0" borderId="0" xfId="0" applyFill="1" applyBorder="1" applyAlignment="1">
      <alignment/>
    </xf>
    <xf numFmtId="0" fontId="3" fillId="0" borderId="0" xfId="0" applyFont="1" applyFill="1" applyBorder="1" applyAlignment="1">
      <alignment horizontal="right" vertical="top" wrapText="1"/>
    </xf>
    <xf numFmtId="0" fontId="3" fillId="2" borderId="15" xfId="0" applyFont="1" applyFill="1" applyBorder="1" applyAlignment="1">
      <alignment horizontal="right" vertical="top" wrapText="1"/>
    </xf>
    <xf numFmtId="0" fontId="3" fillId="2" borderId="14" xfId="0" applyFont="1" applyFill="1" applyBorder="1" applyAlignment="1">
      <alignment/>
    </xf>
    <xf numFmtId="0" fontId="3" fillId="2" borderId="16" xfId="0" applyFont="1" applyFill="1" applyBorder="1" applyAlignment="1">
      <alignment/>
    </xf>
    <xf numFmtId="0" fontId="3" fillId="2" borderId="17" xfId="0" applyFont="1" applyFill="1" applyBorder="1" applyAlignment="1">
      <alignment horizontal="left"/>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19" xfId="0" applyFont="1" applyFill="1" applyBorder="1" applyAlignment="1">
      <alignment/>
    </xf>
    <xf numFmtId="0" fontId="3" fillId="2" borderId="19" xfId="0" applyFont="1" applyFill="1" applyBorder="1" applyAlignment="1">
      <alignment horizontal="left" wrapText="1"/>
    </xf>
    <xf numFmtId="0" fontId="3" fillId="2" borderId="14" xfId="0" applyFont="1" applyFill="1" applyBorder="1" applyAlignment="1">
      <alignment/>
    </xf>
    <xf numFmtId="0" fontId="0" fillId="2" borderId="20" xfId="0" applyFill="1" applyBorder="1" applyAlignment="1">
      <alignment/>
    </xf>
    <xf numFmtId="0" fontId="0" fillId="2" borderId="21" xfId="0" applyFill="1" applyBorder="1" applyAlignment="1">
      <alignment/>
    </xf>
    <xf numFmtId="0" fontId="3" fillId="2" borderId="18" xfId="0" applyFont="1" applyFill="1" applyBorder="1" applyAlignment="1">
      <alignment horizontal="right" vertical="top" wrapText="1"/>
    </xf>
    <xf numFmtId="0" fontId="0" fillId="2" borderId="22" xfId="0" applyFill="1" applyBorder="1" applyAlignment="1">
      <alignment/>
    </xf>
    <xf numFmtId="0" fontId="0" fillId="2" borderId="23" xfId="0" applyFill="1" applyBorder="1" applyAlignment="1">
      <alignment/>
    </xf>
    <xf numFmtId="0" fontId="0" fillId="2" borderId="13" xfId="0" applyFill="1" applyBorder="1" applyAlignment="1">
      <alignment/>
    </xf>
    <xf numFmtId="0" fontId="3" fillId="2" borderId="14" xfId="0" applyFont="1" applyFill="1" applyBorder="1" applyAlignment="1">
      <alignment wrapText="1"/>
    </xf>
    <xf numFmtId="0" fontId="3" fillId="2" borderId="17" xfId="0" applyFont="1" applyFill="1" applyBorder="1" applyAlignment="1">
      <alignment/>
    </xf>
    <xf numFmtId="0" fontId="0" fillId="2" borderId="24" xfId="0" applyFill="1" applyBorder="1" applyAlignment="1">
      <alignment/>
    </xf>
    <xf numFmtId="0" fontId="0" fillId="0" borderId="0" xfId="0" applyFill="1" applyAlignment="1">
      <alignment/>
    </xf>
    <xf numFmtId="0" fontId="3" fillId="2" borderId="23" xfId="0" applyFont="1" applyFill="1" applyBorder="1" applyAlignment="1">
      <alignment horizontal="right" vertical="top" wrapText="1"/>
    </xf>
    <xf numFmtId="0" fontId="3" fillId="0" borderId="0" xfId="0" applyFont="1" applyFill="1" applyBorder="1" applyAlignment="1">
      <alignment horizontal="right"/>
    </xf>
    <xf numFmtId="0" fontId="4"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0" fillId="0" borderId="17" xfId="0" applyBorder="1" applyAlignment="1">
      <alignment/>
    </xf>
    <xf numFmtId="0" fontId="0" fillId="3" borderId="0" xfId="0"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16" xfId="0" applyFont="1" applyBorder="1" applyAlignment="1">
      <alignment/>
    </xf>
    <xf numFmtId="0" fontId="2" fillId="0" borderId="28" xfId="0" applyFont="1" applyBorder="1" applyAlignment="1">
      <alignment/>
    </xf>
    <xf numFmtId="0" fontId="2" fillId="2" borderId="0" xfId="0" applyFont="1" applyFill="1" applyBorder="1" applyAlignment="1">
      <alignment horizontal="center"/>
    </xf>
    <xf numFmtId="0" fontId="2" fillId="0" borderId="1" xfId="0" applyFont="1" applyBorder="1" applyAlignment="1">
      <alignment horizontal="center"/>
    </xf>
    <xf numFmtId="164" fontId="2" fillId="0" borderId="1" xfId="0" applyNumberFormat="1" applyFont="1" applyBorder="1" applyAlignment="1">
      <alignment horizontal="right"/>
    </xf>
    <xf numFmtId="164" fontId="2" fillId="0" borderId="5" xfId="0" applyNumberFormat="1" applyFont="1" applyBorder="1" applyAlignment="1">
      <alignment horizontal="right"/>
    </xf>
    <xf numFmtId="0" fontId="2" fillId="0" borderId="16" xfId="0" applyFont="1" applyBorder="1" applyAlignment="1">
      <alignment wrapText="1"/>
    </xf>
    <xf numFmtId="0" fontId="2" fillId="0" borderId="16" xfId="0" applyFont="1" applyFill="1" applyBorder="1" applyAlignment="1">
      <alignment/>
    </xf>
    <xf numFmtId="0" fontId="2" fillId="0" borderId="1" xfId="0" applyFont="1" applyFill="1" applyBorder="1" applyAlignment="1">
      <alignment horizontal="center"/>
    </xf>
    <xf numFmtId="0" fontId="2" fillId="2" borderId="22" xfId="0" applyFont="1" applyFill="1" applyBorder="1" applyAlignment="1">
      <alignment horizontal="center"/>
    </xf>
    <xf numFmtId="0" fontId="2" fillId="0" borderId="29" xfId="0" applyFont="1" applyBorder="1" applyAlignment="1">
      <alignment/>
    </xf>
    <xf numFmtId="0" fontId="2" fillId="0" borderId="9" xfId="0" applyFont="1" applyBorder="1" applyAlignment="1">
      <alignment horizontal="center"/>
    </xf>
    <xf numFmtId="0" fontId="2" fillId="4" borderId="30" xfId="0" applyFont="1" applyFill="1" applyBorder="1" applyAlignment="1">
      <alignment/>
    </xf>
    <xf numFmtId="0" fontId="2" fillId="4" borderId="19" xfId="0" applyFont="1" applyFill="1" applyBorder="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right"/>
    </xf>
    <xf numFmtId="164" fontId="2" fillId="0" borderId="6" xfId="0" applyNumberFormat="1" applyFont="1" applyBorder="1" applyAlignment="1">
      <alignment horizontal="right"/>
    </xf>
    <xf numFmtId="0" fontId="2" fillId="0" borderId="0" xfId="0" applyFont="1" applyAlignment="1">
      <alignment horizontal="center"/>
    </xf>
    <xf numFmtId="0" fontId="10" fillId="0" borderId="0" xfId="0" applyFont="1" applyAlignment="1">
      <alignment/>
    </xf>
    <xf numFmtId="0" fontId="10" fillId="2" borderId="31" xfId="0" applyFont="1" applyFill="1" applyBorder="1" applyAlignment="1">
      <alignment horizontal="center"/>
    </xf>
    <xf numFmtId="0" fontId="10" fillId="2" borderId="3" xfId="0" applyFont="1" applyFill="1" applyBorder="1" applyAlignment="1">
      <alignment horizontal="right"/>
    </xf>
    <xf numFmtId="0" fontId="10" fillId="2" borderId="32" xfId="0" applyFont="1" applyFill="1" applyBorder="1" applyAlignment="1">
      <alignment horizontal="right"/>
    </xf>
    <xf numFmtId="0" fontId="2" fillId="0" borderId="14" xfId="0" applyFont="1" applyBorder="1" applyAlignment="1">
      <alignment horizontal="center"/>
    </xf>
    <xf numFmtId="0" fontId="2" fillId="0" borderId="16" xfId="0" applyFont="1" applyBorder="1" applyAlignment="1">
      <alignment vertical="top" wrapText="1"/>
    </xf>
    <xf numFmtId="0" fontId="2" fillId="0" borderId="14" xfId="0" applyFont="1" applyBorder="1" applyAlignment="1">
      <alignment horizontal="center" vertical="top" wrapText="1"/>
    </xf>
    <xf numFmtId="0" fontId="10" fillId="0" borderId="16" xfId="0" applyFont="1" applyBorder="1" applyAlignment="1">
      <alignment/>
    </xf>
    <xf numFmtId="0" fontId="10" fillId="0" borderId="28" xfId="0" applyFont="1" applyBorder="1" applyAlignment="1">
      <alignment/>
    </xf>
    <xf numFmtId="0" fontId="2" fillId="0" borderId="25" xfId="0" applyFont="1" applyBorder="1" applyAlignment="1">
      <alignment/>
    </xf>
    <xf numFmtId="0" fontId="2" fillId="0" borderId="25" xfId="0" applyFont="1" applyBorder="1" applyAlignment="1">
      <alignment wrapText="1"/>
    </xf>
    <xf numFmtId="0" fontId="7" fillId="0" borderId="0" xfId="0" applyFont="1" applyFill="1" applyBorder="1" applyAlignment="1">
      <alignment wrapText="1"/>
    </xf>
    <xf numFmtId="0" fontId="1" fillId="3" borderId="0" xfId="0" applyFont="1" applyFill="1" applyAlignment="1">
      <alignment/>
    </xf>
    <xf numFmtId="0" fontId="0" fillId="3" borderId="0" xfId="0" applyFill="1" applyAlignment="1">
      <alignment/>
    </xf>
    <xf numFmtId="0" fontId="0" fillId="3" borderId="0" xfId="0" applyFill="1" applyAlignment="1">
      <alignment horizontal="center"/>
    </xf>
    <xf numFmtId="0" fontId="2" fillId="0" borderId="26" xfId="0" applyFont="1" applyBorder="1" applyAlignment="1">
      <alignment/>
    </xf>
    <xf numFmtId="0" fontId="10" fillId="2" borderId="2"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4" fillId="3" borderId="0" xfId="0" applyFont="1" applyFill="1" applyAlignment="1">
      <alignment/>
    </xf>
    <xf numFmtId="164" fontId="0" fillId="3" borderId="0" xfId="0" applyNumberFormat="1" applyFill="1" applyBorder="1" applyAlignment="1">
      <alignment horizontal="right"/>
    </xf>
    <xf numFmtId="0" fontId="2" fillId="0" borderId="1" xfId="0" applyFont="1" applyBorder="1" applyAlignment="1">
      <alignment/>
    </xf>
    <xf numFmtId="0" fontId="2" fillId="0" borderId="4" xfId="0" applyFont="1" applyBorder="1" applyAlignment="1">
      <alignment/>
    </xf>
    <xf numFmtId="0" fontId="9" fillId="0" borderId="0" xfId="0" applyFont="1" applyFill="1" applyBorder="1" applyAlignment="1">
      <alignment/>
    </xf>
    <xf numFmtId="164" fontId="0" fillId="0" borderId="0" xfId="0" applyNumberFormat="1" applyFill="1" applyBorder="1" applyAlignment="1">
      <alignment horizontal="right"/>
    </xf>
    <xf numFmtId="164" fontId="0" fillId="0" borderId="0" xfId="0" applyNumberFormat="1" applyFill="1" applyBorder="1" applyAlignment="1">
      <alignment/>
    </xf>
    <xf numFmtId="0" fontId="9" fillId="0" borderId="0" xfId="0" applyFont="1" applyFill="1" applyBorder="1" applyAlignment="1">
      <alignment wrapText="1"/>
    </xf>
    <xf numFmtId="0" fontId="6" fillId="0" borderId="0" xfId="0" applyFont="1" applyFill="1" applyBorder="1" applyAlignment="1">
      <alignment/>
    </xf>
    <xf numFmtId="0" fontId="3" fillId="0" borderId="0" xfId="0" applyFont="1" applyFill="1" applyBorder="1" applyAlignment="1">
      <alignment wrapText="1"/>
    </xf>
    <xf numFmtId="0" fontId="6" fillId="0" borderId="0" xfId="0" applyFont="1" applyFill="1" applyBorder="1" applyAlignment="1">
      <alignment vertical="top" wrapText="1"/>
    </xf>
    <xf numFmtId="0" fontId="3" fillId="0" borderId="0" xfId="0" applyFont="1" applyFill="1" applyBorder="1" applyAlignment="1">
      <alignment horizontal="right" vertical="top"/>
    </xf>
    <xf numFmtId="164" fontId="3" fillId="0" borderId="0" xfId="0" applyNumberFormat="1" applyFont="1" applyFill="1" applyBorder="1" applyAlignment="1">
      <alignment/>
    </xf>
    <xf numFmtId="0" fontId="10" fillId="2" borderId="33" xfId="0" applyFont="1" applyFill="1" applyBorder="1" applyAlignment="1">
      <alignment/>
    </xf>
    <xf numFmtId="0" fontId="10" fillId="2" borderId="1" xfId="0" applyFont="1" applyFill="1" applyBorder="1" applyAlignment="1">
      <alignment horizontal="right"/>
    </xf>
    <xf numFmtId="0" fontId="2" fillId="2" borderId="7" xfId="0" applyFont="1" applyFill="1" applyBorder="1" applyAlignment="1">
      <alignment/>
    </xf>
    <xf numFmtId="0" fontId="2" fillId="2" borderId="8" xfId="0" applyFont="1" applyFill="1" applyBorder="1" applyAlignment="1">
      <alignment/>
    </xf>
    <xf numFmtId="0" fontId="10" fillId="2" borderId="16" xfId="0" applyFont="1" applyFill="1" applyBorder="1" applyAlignment="1">
      <alignment/>
    </xf>
    <xf numFmtId="0" fontId="10" fillId="2" borderId="1" xfId="0" applyFont="1" applyFill="1" applyBorder="1" applyAlignment="1">
      <alignment horizontal="left"/>
    </xf>
    <xf numFmtId="0" fontId="10" fillId="2" borderId="1" xfId="0" applyFont="1" applyFill="1" applyBorder="1" applyAlignment="1">
      <alignment/>
    </xf>
    <xf numFmtId="0" fontId="10" fillId="2" borderId="14" xfId="0" applyFont="1" applyFill="1" applyBorder="1" applyAlignment="1">
      <alignment/>
    </xf>
    <xf numFmtId="0" fontId="10" fillId="2" borderId="17" xfId="0" applyFont="1" applyFill="1" applyBorder="1" applyAlignment="1">
      <alignment horizontal="left" wrapText="1"/>
    </xf>
    <xf numFmtId="0" fontId="10" fillId="2" borderId="14" xfId="0" applyFont="1" applyFill="1" applyBorder="1" applyAlignment="1">
      <alignment horizontal="left" wrapText="1"/>
    </xf>
    <xf numFmtId="0" fontId="10" fillId="2" borderId="1" xfId="0" applyFont="1" applyFill="1" applyBorder="1" applyAlignment="1">
      <alignment wrapText="1"/>
    </xf>
    <xf numFmtId="0" fontId="10" fillId="2" borderId="5" xfId="0" applyFont="1" applyFill="1" applyBorder="1" applyAlignment="1">
      <alignment wrapText="1"/>
    </xf>
    <xf numFmtId="0" fontId="10" fillId="2" borderId="16" xfId="0" applyFont="1" applyFill="1" applyBorder="1" applyAlignment="1">
      <alignment vertical="top"/>
    </xf>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5" xfId="0" applyFont="1" applyFill="1" applyBorder="1" applyAlignment="1">
      <alignment vertical="top" wrapText="1"/>
    </xf>
    <xf numFmtId="0" fontId="10" fillId="2" borderId="7" xfId="0" applyFont="1" applyFill="1" applyBorder="1" applyAlignment="1">
      <alignment/>
    </xf>
    <xf numFmtId="0" fontId="10" fillId="2" borderId="14" xfId="0" applyFont="1" applyFill="1" applyBorder="1" applyAlignment="1">
      <alignment vertical="top" wrapText="1"/>
    </xf>
    <xf numFmtId="0" fontId="2" fillId="0" borderId="14" xfId="0" applyFont="1" applyBorder="1" applyAlignment="1">
      <alignment/>
    </xf>
    <xf numFmtId="0" fontId="2" fillId="0" borderId="34" xfId="0" applyFont="1" applyBorder="1" applyAlignment="1">
      <alignment/>
    </xf>
    <xf numFmtId="0" fontId="0" fillId="2" borderId="16" xfId="0" applyFill="1" applyBorder="1" applyAlignment="1">
      <alignment/>
    </xf>
    <xf numFmtId="0" fontId="3" fillId="2" borderId="7" xfId="0" applyFont="1" applyFill="1" applyBorder="1" applyAlignment="1">
      <alignment/>
    </xf>
    <xf numFmtId="0" fontId="0" fillId="2" borderId="35" xfId="0" applyFill="1" applyBorder="1" applyAlignment="1">
      <alignment/>
    </xf>
    <xf numFmtId="0" fontId="3" fillId="2" borderId="19" xfId="0" applyFont="1" applyFill="1" applyBorder="1" applyAlignment="1">
      <alignment horizontal="center"/>
    </xf>
    <xf numFmtId="0" fontId="3" fillId="2" borderId="22" xfId="0" applyFont="1" applyFill="1" applyBorder="1" applyAlignment="1">
      <alignment horizontal="center"/>
    </xf>
    <xf numFmtId="0" fontId="3" fillId="2" borderId="22" xfId="0" applyFont="1" applyFill="1" applyBorder="1" applyAlignment="1">
      <alignment horizontal="center" wrapText="1"/>
    </xf>
    <xf numFmtId="0" fontId="10" fillId="2" borderId="14" xfId="0" applyFont="1" applyFill="1" applyBorder="1" applyAlignment="1">
      <alignment horizontal="left"/>
    </xf>
    <xf numFmtId="0" fontId="10" fillId="2" borderId="17" xfId="0" applyFont="1" applyFill="1" applyBorder="1" applyAlignment="1">
      <alignment horizontal="left"/>
    </xf>
    <xf numFmtId="0" fontId="10" fillId="2" borderId="17" xfId="0" applyFont="1" applyFill="1" applyBorder="1" applyAlignment="1">
      <alignment horizontal="right" wrapText="1"/>
    </xf>
    <xf numFmtId="0" fontId="10" fillId="2" borderId="14" xfId="0" applyFont="1" applyFill="1" applyBorder="1" applyAlignment="1">
      <alignment horizontal="right" wrapText="1"/>
    </xf>
    <xf numFmtId="0" fontId="2" fillId="2" borderId="1" xfId="0" applyFont="1" applyFill="1" applyBorder="1" applyAlignment="1">
      <alignment/>
    </xf>
    <xf numFmtId="0" fontId="2" fillId="2" borderId="11" xfId="0" applyFont="1" applyFill="1" applyBorder="1" applyAlignment="1">
      <alignment/>
    </xf>
    <xf numFmtId="0" fontId="2" fillId="2" borderId="20" xfId="0" applyFont="1" applyFill="1" applyBorder="1" applyAlignment="1">
      <alignment/>
    </xf>
    <xf numFmtId="0" fontId="2" fillId="2" borderId="10" xfId="0" applyFont="1" applyFill="1" applyBorder="1" applyAlignment="1">
      <alignment/>
    </xf>
    <xf numFmtId="0" fontId="2" fillId="2" borderId="24" xfId="0" applyFont="1" applyFill="1" applyBorder="1" applyAlignment="1">
      <alignment/>
    </xf>
    <xf numFmtId="0" fontId="2" fillId="0" borderId="14" xfId="0" applyFont="1" applyFill="1" applyBorder="1" applyAlignment="1">
      <alignment/>
    </xf>
    <xf numFmtId="0" fontId="2" fillId="0" borderId="34" xfId="0" applyFont="1" applyFill="1" applyBorder="1" applyAlignment="1">
      <alignment/>
    </xf>
    <xf numFmtId="0" fontId="10" fillId="2" borderId="36" xfId="0" applyFont="1" applyFill="1" applyBorder="1" applyAlignment="1">
      <alignment vertical="top" wrapText="1"/>
    </xf>
    <xf numFmtId="0" fontId="10" fillId="2" borderId="5" xfId="0"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6" fillId="0" borderId="0" xfId="0" applyFont="1" applyFill="1" applyBorder="1" applyAlignment="1">
      <alignment vertical="top"/>
    </xf>
    <xf numFmtId="0" fontId="3" fillId="0" borderId="0" xfId="0"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wrapText="1"/>
    </xf>
    <xf numFmtId="0" fontId="2" fillId="3" borderId="37" xfId="0" applyFont="1" applyFill="1" applyBorder="1" applyAlignment="1">
      <alignment/>
    </xf>
    <xf numFmtId="0" fontId="2" fillId="3" borderId="0" xfId="0" applyFont="1" applyFill="1" applyBorder="1" applyAlignment="1">
      <alignment/>
    </xf>
    <xf numFmtId="0" fontId="2" fillId="3" borderId="35" xfId="0" applyFont="1" applyFill="1" applyBorder="1" applyAlignment="1">
      <alignment/>
    </xf>
    <xf numFmtId="0" fontId="2" fillId="3" borderId="25" xfId="0" applyFont="1" applyFill="1" applyBorder="1" applyAlignment="1">
      <alignment/>
    </xf>
    <xf numFmtId="0" fontId="2" fillId="3" borderId="22" xfId="0" applyFont="1" applyFill="1" applyBorder="1" applyAlignment="1">
      <alignment/>
    </xf>
    <xf numFmtId="0" fontId="2" fillId="3" borderId="20" xfId="0" applyFont="1" applyFill="1" applyBorder="1" applyAlignment="1">
      <alignment/>
    </xf>
    <xf numFmtId="4" fontId="2" fillId="0" borderId="1" xfId="0" applyNumberFormat="1" applyFont="1" applyBorder="1" applyAlignment="1">
      <alignment/>
    </xf>
    <xf numFmtId="4" fontId="2" fillId="0" borderId="5" xfId="0" applyNumberFormat="1" applyFont="1" applyBorder="1" applyAlignment="1">
      <alignment/>
    </xf>
    <xf numFmtId="0" fontId="2" fillId="2" borderId="38" xfId="0" applyFont="1" applyFill="1" applyBorder="1" applyAlignment="1">
      <alignment/>
    </xf>
    <xf numFmtId="0" fontId="2" fillId="2" borderId="39" xfId="0" applyFont="1" applyFill="1" applyBorder="1" applyAlignment="1">
      <alignment/>
    </xf>
    <xf numFmtId="0" fontId="2" fillId="2" borderId="40" xfId="0" applyFont="1" applyFill="1" applyBorder="1" applyAlignment="1">
      <alignment/>
    </xf>
    <xf numFmtId="0" fontId="2" fillId="2" borderId="33" xfId="0" applyFont="1" applyFill="1" applyBorder="1" applyAlignment="1">
      <alignment/>
    </xf>
    <xf numFmtId="0" fontId="10" fillId="2" borderId="16" xfId="0" applyFont="1" applyFill="1" applyBorder="1" applyAlignment="1">
      <alignment horizontal="right"/>
    </xf>
    <xf numFmtId="0" fontId="10" fillId="2" borderId="14" xfId="0" applyFont="1" applyFill="1" applyBorder="1" applyAlignment="1">
      <alignment horizontal="center"/>
    </xf>
    <xf numFmtId="0" fontId="10" fillId="2" borderId="5" xfId="0" applyFont="1" applyFill="1" applyBorder="1" applyAlignment="1">
      <alignment/>
    </xf>
    <xf numFmtId="0" fontId="10" fillId="2" borderId="1" xfId="0" applyFont="1" applyFill="1" applyBorder="1" applyAlignment="1">
      <alignment horizontal="center"/>
    </xf>
    <xf numFmtId="0" fontId="10" fillId="2" borderId="5" xfId="0" applyFont="1" applyFill="1" applyBorder="1" applyAlignment="1">
      <alignment horizontal="right"/>
    </xf>
    <xf numFmtId="4" fontId="3" fillId="0" borderId="0" xfId="0" applyNumberFormat="1" applyFont="1" applyFill="1" applyBorder="1" applyAlignment="1">
      <alignment horizontal="right" vertical="top"/>
    </xf>
    <xf numFmtId="4" fontId="3" fillId="0" borderId="0" xfId="0" applyNumberFormat="1" applyFont="1" applyFill="1" applyBorder="1" applyAlignment="1">
      <alignment horizontal="right" vertical="top" wrapText="1"/>
    </xf>
    <xf numFmtId="4" fontId="0" fillId="0" borderId="0" xfId="0" applyNumberFormat="1" applyFill="1" applyBorder="1" applyAlignment="1">
      <alignment horizontal="right"/>
    </xf>
    <xf numFmtId="4" fontId="0" fillId="0" borderId="0" xfId="0" applyNumberForma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wrapText="1"/>
    </xf>
    <xf numFmtId="0" fontId="2" fillId="2" borderId="41" xfId="0" applyFont="1" applyFill="1" applyBorder="1" applyAlignment="1">
      <alignment/>
    </xf>
    <xf numFmtId="0" fontId="10" fillId="2" borderId="29" xfId="0" applyFont="1" applyFill="1" applyBorder="1" applyAlignment="1">
      <alignment vertical="top" wrapText="1"/>
    </xf>
    <xf numFmtId="0" fontId="10" fillId="2" borderId="18" xfId="0" applyFont="1" applyFill="1" applyBorder="1" applyAlignment="1">
      <alignment horizontal="left" vertical="top"/>
    </xf>
    <xf numFmtId="0" fontId="10" fillId="2" borderId="17" xfId="0" applyFont="1" applyFill="1" applyBorder="1" applyAlignment="1">
      <alignment vertical="top"/>
    </xf>
    <xf numFmtId="0" fontId="10" fillId="2" borderId="14" xfId="0" applyFont="1" applyFill="1" applyBorder="1" applyAlignment="1">
      <alignment vertical="top"/>
    </xf>
    <xf numFmtId="0" fontId="10" fillId="2" borderId="18" xfId="0" applyFont="1" applyFill="1" applyBorder="1" applyAlignment="1">
      <alignment vertical="top" wrapText="1"/>
    </xf>
    <xf numFmtId="0" fontId="10" fillId="2" borderId="9" xfId="0" applyFont="1" applyFill="1" applyBorder="1" applyAlignment="1">
      <alignment vertical="top"/>
    </xf>
    <xf numFmtId="0" fontId="10" fillId="2" borderId="42" xfId="0" applyFont="1" applyFill="1" applyBorder="1" applyAlignment="1">
      <alignment vertical="top"/>
    </xf>
    <xf numFmtId="0" fontId="2" fillId="2" borderId="43" xfId="0" applyFont="1" applyFill="1" applyBorder="1" applyAlignment="1">
      <alignment/>
    </xf>
    <xf numFmtId="4" fontId="2" fillId="2" borderId="21" xfId="0" applyNumberFormat="1" applyFont="1" applyFill="1" applyBorder="1" applyAlignment="1">
      <alignment horizontal="right"/>
    </xf>
    <xf numFmtId="0" fontId="2" fillId="2" borderId="21" xfId="0" applyFont="1" applyFill="1" applyBorder="1" applyAlignment="1">
      <alignment/>
    </xf>
    <xf numFmtId="0" fontId="2" fillId="2" borderId="44" xfId="0" applyFont="1" applyFill="1" applyBorder="1" applyAlignment="1">
      <alignment/>
    </xf>
    <xf numFmtId="4" fontId="2" fillId="0" borderId="17" xfId="0" applyNumberFormat="1" applyFont="1" applyBorder="1" applyAlignment="1">
      <alignment horizontal="right"/>
    </xf>
    <xf numFmtId="0" fontId="2" fillId="0" borderId="17" xfId="0" applyFont="1" applyBorder="1" applyAlignment="1">
      <alignment/>
    </xf>
    <xf numFmtId="4" fontId="2" fillId="0" borderId="27" xfId="0" applyNumberFormat="1" applyFont="1" applyBorder="1" applyAlignment="1">
      <alignment horizontal="right"/>
    </xf>
    <xf numFmtId="0" fontId="2" fillId="0" borderId="27" xfId="0" applyFont="1" applyBorder="1" applyAlignment="1">
      <alignment/>
    </xf>
    <xf numFmtId="0" fontId="10" fillId="2" borderId="17" xfId="0" applyFont="1" applyFill="1" applyBorder="1" applyAlignment="1">
      <alignment horizontal="right" vertical="top" wrapText="1"/>
    </xf>
    <xf numFmtId="0" fontId="10" fillId="2" borderId="23" xfId="0" applyFont="1" applyFill="1" applyBorder="1" applyAlignment="1">
      <alignment vertical="top"/>
    </xf>
    <xf numFmtId="0" fontId="10" fillId="2" borderId="1" xfId="0" applyFont="1" applyFill="1" applyBorder="1" applyAlignment="1">
      <alignment horizontal="right" vertical="top"/>
    </xf>
    <xf numFmtId="0" fontId="10" fillId="2" borderId="5" xfId="0" applyFont="1" applyFill="1" applyBorder="1" applyAlignment="1">
      <alignment vertical="top"/>
    </xf>
    <xf numFmtId="0" fontId="10" fillId="2" borderId="30" xfId="0" applyFont="1" applyFill="1" applyBorder="1" applyAlignment="1">
      <alignment vertical="top"/>
    </xf>
    <xf numFmtId="0" fontId="10" fillId="2" borderId="36" xfId="0" applyFont="1" applyFill="1" applyBorder="1" applyAlignment="1">
      <alignment vertical="top"/>
    </xf>
    <xf numFmtId="0" fontId="10" fillId="2" borderId="45" xfId="0" applyFont="1" applyFill="1" applyBorder="1" applyAlignment="1">
      <alignment vertical="top"/>
    </xf>
    <xf numFmtId="0" fontId="10" fillId="2" borderId="25" xfId="0" applyFont="1" applyFill="1" applyBorder="1" applyAlignment="1">
      <alignment horizontal="right" vertical="top" wrapText="1"/>
    </xf>
    <xf numFmtId="0" fontId="10" fillId="2" borderId="1" xfId="0" applyFont="1" applyFill="1" applyBorder="1" applyAlignment="1">
      <alignment horizontal="left" vertical="top" wrapText="1"/>
    </xf>
    <xf numFmtId="0" fontId="10" fillId="3" borderId="0" xfId="0" applyFont="1" applyFill="1" applyAlignment="1">
      <alignment wrapText="1"/>
    </xf>
    <xf numFmtId="0" fontId="7" fillId="3" borderId="0" xfId="0" applyFont="1" applyFill="1" applyAlignment="1">
      <alignment wrapText="1"/>
    </xf>
    <xf numFmtId="0" fontId="7" fillId="3" borderId="0" xfId="0" applyFont="1" applyFill="1" applyAlignment="1">
      <alignment/>
    </xf>
    <xf numFmtId="0" fontId="2" fillId="3" borderId="25" xfId="0" applyFont="1" applyFill="1" applyBorder="1" applyAlignment="1">
      <alignment wrapText="1"/>
    </xf>
    <xf numFmtId="0" fontId="9" fillId="3" borderId="0" xfId="0" applyFont="1" applyFill="1" applyBorder="1" applyAlignment="1">
      <alignment wrapText="1"/>
    </xf>
    <xf numFmtId="164" fontId="0" fillId="3" borderId="0" xfId="0" applyNumberFormat="1" applyFill="1" applyBorder="1" applyAlignment="1">
      <alignment horizontal="right" vertical="center"/>
    </xf>
    <xf numFmtId="0" fontId="9" fillId="3" borderId="0" xfId="0" applyFont="1" applyFill="1" applyBorder="1" applyAlignment="1">
      <alignment/>
    </xf>
    <xf numFmtId="0" fontId="0" fillId="3" borderId="17" xfId="0" applyFill="1" applyBorder="1" applyAlignment="1">
      <alignment/>
    </xf>
    <xf numFmtId="0" fontId="0" fillId="3" borderId="45" xfId="0" applyFill="1" applyBorder="1" applyAlignment="1">
      <alignment/>
    </xf>
    <xf numFmtId="0" fontId="0" fillId="3" borderId="27" xfId="0" applyFill="1" applyBorder="1" applyAlignment="1">
      <alignment/>
    </xf>
    <xf numFmtId="0" fontId="0" fillId="3" borderId="46" xfId="0" applyFill="1" applyBorder="1" applyAlignment="1">
      <alignment/>
    </xf>
    <xf numFmtId="0" fontId="0" fillId="3" borderId="14" xfId="0" applyFill="1" applyBorder="1" applyAlignment="1">
      <alignment/>
    </xf>
    <xf numFmtId="0" fontId="0" fillId="3" borderId="26" xfId="0" applyFill="1" applyBorder="1" applyAlignment="1">
      <alignment/>
    </xf>
    <xf numFmtId="0" fontId="0" fillId="3" borderId="34" xfId="0" applyFill="1" applyBorder="1" applyAlignment="1">
      <alignment/>
    </xf>
    <xf numFmtId="4" fontId="0" fillId="3" borderId="27" xfId="0" applyNumberFormat="1" applyFill="1" applyBorder="1" applyAlignment="1">
      <alignment horizontal="right"/>
    </xf>
    <xf numFmtId="0" fontId="8" fillId="3" borderId="0" xfId="0" applyFont="1" applyFill="1" applyAlignment="1">
      <alignment/>
    </xf>
    <xf numFmtId="0" fontId="0" fillId="3" borderId="0" xfId="0" applyFont="1" applyFill="1" applyAlignment="1">
      <alignment/>
    </xf>
    <xf numFmtId="0" fontId="0" fillId="3" borderId="0" xfId="0" applyFont="1" applyFill="1" applyAlignment="1">
      <alignment wrapText="1"/>
    </xf>
    <xf numFmtId="0" fontId="0" fillId="3" borderId="0" xfId="0" applyFont="1" applyFill="1" applyAlignment="1">
      <alignment horizontal="right"/>
    </xf>
    <xf numFmtId="167" fontId="0" fillId="3" borderId="0" xfId="0" applyNumberFormat="1" applyFill="1" applyAlignment="1">
      <alignment horizontal="right"/>
    </xf>
    <xf numFmtId="167" fontId="2" fillId="2" borderId="0" xfId="0" applyNumberFormat="1" applyFont="1" applyFill="1" applyBorder="1" applyAlignment="1">
      <alignment horizontal="right"/>
    </xf>
    <xf numFmtId="167" fontId="2" fillId="2" borderId="47" xfId="0" applyNumberFormat="1" applyFont="1" applyFill="1" applyBorder="1" applyAlignment="1">
      <alignment horizontal="right"/>
    </xf>
    <xf numFmtId="167" fontId="2" fillId="0" borderId="1" xfId="0" applyNumberFormat="1" applyFont="1" applyBorder="1" applyAlignment="1">
      <alignment horizontal="right"/>
    </xf>
    <xf numFmtId="167" fontId="2" fillId="0" borderId="5" xfId="0" applyNumberFormat="1" applyFont="1" applyBorder="1" applyAlignment="1">
      <alignment horizontal="right"/>
    </xf>
    <xf numFmtId="167" fontId="2" fillId="0" borderId="9" xfId="0" applyNumberFormat="1" applyFont="1" applyBorder="1" applyAlignment="1">
      <alignment horizontal="right"/>
    </xf>
    <xf numFmtId="167" fontId="2" fillId="0" borderId="48" xfId="0" applyNumberFormat="1" applyFont="1" applyBorder="1" applyAlignment="1">
      <alignment horizontal="right"/>
    </xf>
    <xf numFmtId="167" fontId="2" fillId="4" borderId="19" xfId="0" applyNumberFormat="1" applyFont="1" applyFill="1" applyBorder="1" applyAlignment="1">
      <alignment horizontal="right"/>
    </xf>
    <xf numFmtId="167" fontId="2" fillId="0" borderId="4" xfId="0" applyNumberFormat="1" applyFont="1" applyBorder="1" applyAlignment="1">
      <alignment horizontal="right"/>
    </xf>
    <xf numFmtId="167" fontId="2" fillId="0" borderId="6" xfId="0" applyNumberFormat="1" applyFont="1" applyBorder="1" applyAlignment="1">
      <alignment horizontal="right"/>
    </xf>
    <xf numFmtId="167" fontId="2" fillId="0" borderId="0" xfId="0" applyNumberFormat="1" applyFont="1" applyAlignment="1">
      <alignment horizontal="right"/>
    </xf>
    <xf numFmtId="167" fontId="2" fillId="0" borderId="0" xfId="0" applyNumberFormat="1" applyFont="1" applyAlignment="1">
      <alignment/>
    </xf>
    <xf numFmtId="167" fontId="0" fillId="0" borderId="0" xfId="0" applyNumberFormat="1" applyAlignment="1">
      <alignment horizontal="right"/>
    </xf>
    <xf numFmtId="3" fontId="2" fillId="0" borderId="1" xfId="0" applyNumberFormat="1" applyFont="1" applyBorder="1" applyAlignment="1">
      <alignment/>
    </xf>
    <xf numFmtId="3" fontId="2" fillId="0" borderId="1" xfId="0" applyNumberFormat="1" applyFont="1" applyBorder="1" applyAlignment="1">
      <alignment/>
    </xf>
    <xf numFmtId="0" fontId="3" fillId="2" borderId="37" xfId="0" applyFont="1" applyFill="1" applyBorder="1" applyAlignment="1">
      <alignment horizontal="center"/>
    </xf>
    <xf numFmtId="0" fontId="10" fillId="2" borderId="48"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25" xfId="0" applyFont="1" applyBorder="1" applyAlignment="1">
      <alignment wrapText="1"/>
    </xf>
    <xf numFmtId="0" fontId="2" fillId="0" borderId="25" xfId="0" applyFont="1" applyFill="1" applyBorder="1" applyAlignment="1">
      <alignment wrapText="1"/>
    </xf>
    <xf numFmtId="0" fontId="2" fillId="4" borderId="25" xfId="0" applyFont="1" applyFill="1" applyBorder="1" applyAlignment="1">
      <alignment wrapText="1"/>
    </xf>
    <xf numFmtId="0" fontId="10" fillId="0" borderId="26" xfId="0" applyFont="1" applyBorder="1" applyAlignment="1">
      <alignment wrapText="1"/>
    </xf>
    <xf numFmtId="0" fontId="10" fillId="2" borderId="25" xfId="0" applyFont="1" applyFill="1" applyBorder="1" applyAlignment="1">
      <alignment wrapText="1"/>
    </xf>
    <xf numFmtId="0" fontId="2" fillId="0" borderId="26" xfId="0" applyFont="1" applyBorder="1" applyAlignment="1">
      <alignment wrapText="1"/>
    </xf>
    <xf numFmtId="0" fontId="10" fillId="3" borderId="25" xfId="0" applyFont="1" applyFill="1" applyBorder="1" applyAlignment="1">
      <alignment wrapText="1"/>
    </xf>
    <xf numFmtId="0" fontId="2" fillId="3" borderId="26" xfId="0" applyFont="1" applyFill="1" applyBorder="1" applyAlignment="1">
      <alignment wrapText="1"/>
    </xf>
    <xf numFmtId="0" fontId="2" fillId="3" borderId="0" xfId="0" applyFont="1" applyFill="1" applyBorder="1" applyAlignment="1">
      <alignment wrapText="1"/>
    </xf>
    <xf numFmtId="0" fontId="10" fillId="3" borderId="26" xfId="0" applyFont="1" applyFill="1" applyBorder="1" applyAlignment="1">
      <alignment wrapText="1"/>
    </xf>
    <xf numFmtId="0" fontId="10" fillId="3" borderId="0" xfId="0" applyFont="1" applyFill="1" applyBorder="1" applyAlignment="1">
      <alignment wrapText="1"/>
    </xf>
    <xf numFmtId="167" fontId="0" fillId="0" borderId="1" xfId="0" applyNumberFormat="1" applyFont="1" applyBorder="1" applyAlignment="1">
      <alignment horizontal="right"/>
    </xf>
    <xf numFmtId="167" fontId="0" fillId="0" borderId="1" xfId="0" applyNumberFormat="1" applyFill="1" applyBorder="1" applyAlignment="1">
      <alignment horizontal="right"/>
    </xf>
    <xf numFmtId="167" fontId="0" fillId="0" borderId="5" xfId="0" applyNumberFormat="1" applyBorder="1" applyAlignment="1">
      <alignment horizontal="right"/>
    </xf>
    <xf numFmtId="167" fontId="0" fillId="0" borderId="0" xfId="0" applyNumberFormat="1" applyAlignment="1">
      <alignment/>
    </xf>
    <xf numFmtId="167" fontId="0" fillId="0" borderId="1" xfId="0" applyNumberFormat="1" applyBorder="1" applyAlignment="1">
      <alignment horizontal="right"/>
    </xf>
    <xf numFmtId="167" fontId="0" fillId="0" borderId="4" xfId="0" applyNumberFormat="1" applyFont="1" applyBorder="1" applyAlignment="1">
      <alignment horizontal="right"/>
    </xf>
    <xf numFmtId="167" fontId="0" fillId="0" borderId="27" xfId="0" applyNumberFormat="1" applyFont="1" applyBorder="1" applyAlignment="1">
      <alignment horizontal="right"/>
    </xf>
    <xf numFmtId="167" fontId="0" fillId="0" borderId="4" xfId="0" applyNumberFormat="1" applyBorder="1" applyAlignment="1">
      <alignment horizontal="right"/>
    </xf>
    <xf numFmtId="167" fontId="0" fillId="0" borderId="6" xfId="0" applyNumberFormat="1" applyBorder="1" applyAlignment="1">
      <alignment horizontal="right"/>
    </xf>
    <xf numFmtId="49" fontId="3" fillId="2" borderId="3" xfId="0" applyNumberFormat="1" applyFont="1" applyFill="1" applyBorder="1" applyAlignment="1">
      <alignment horizontal="center"/>
    </xf>
    <xf numFmtId="49" fontId="2" fillId="0" borderId="1" xfId="0" applyNumberFormat="1" applyFont="1" applyBorder="1" applyAlignment="1">
      <alignment horizontal="center"/>
    </xf>
    <xf numFmtId="49" fontId="0" fillId="0" borderId="0" xfId="0" applyNumberFormat="1" applyAlignment="1">
      <alignment horizontal="center"/>
    </xf>
    <xf numFmtId="0" fontId="10" fillId="2" borderId="37" xfId="0" applyFont="1" applyFill="1" applyBorder="1" applyAlignment="1">
      <alignment horizontal="center"/>
    </xf>
    <xf numFmtId="0" fontId="10" fillId="2" borderId="25" xfId="0" applyFont="1" applyFill="1" applyBorder="1" applyAlignment="1">
      <alignment horizontal="center"/>
    </xf>
    <xf numFmtId="0" fontId="4" fillId="2" borderId="2" xfId="0" applyFont="1" applyFill="1" applyBorder="1" applyAlignment="1">
      <alignment horizontal="center"/>
    </xf>
    <xf numFmtId="0" fontId="10" fillId="2" borderId="9" xfId="0" applyFont="1" applyFill="1" applyBorder="1" applyAlignment="1">
      <alignment horizontal="center" vertical="center" wrapText="1"/>
    </xf>
    <xf numFmtId="0" fontId="0" fillId="0" borderId="0" xfId="0" applyAlignment="1">
      <alignment horizontal="center" vertical="center" wrapText="1"/>
    </xf>
    <xf numFmtId="0" fontId="0" fillId="2" borderId="29" xfId="0"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horizontal="right" vertical="center" wrapText="1"/>
    </xf>
    <xf numFmtId="0" fontId="0" fillId="2" borderId="19" xfId="0" applyFill="1" applyBorder="1" applyAlignment="1">
      <alignment vertical="center"/>
    </xf>
    <xf numFmtId="0" fontId="0" fillId="2" borderId="36" xfId="0" applyFill="1" applyBorder="1" applyAlignment="1">
      <alignment vertical="center"/>
    </xf>
    <xf numFmtId="0" fontId="3" fillId="2" borderId="13"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0" fillId="0" borderId="0" xfId="0" applyAlignment="1">
      <alignment vertical="center"/>
    </xf>
    <xf numFmtId="0" fontId="2" fillId="2" borderId="29"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6" xfId="0" applyFont="1" applyFill="1" applyBorder="1" applyAlignment="1">
      <alignment horizontal="center" vertical="center"/>
    </xf>
    <xf numFmtId="0" fontId="10" fillId="2" borderId="18" xfId="0" applyFont="1" applyFill="1" applyBorder="1" applyAlignment="1">
      <alignment horizontal="center" vertical="center" wrapText="1"/>
    </xf>
    <xf numFmtId="0" fontId="2" fillId="2" borderId="14" xfId="0" applyFont="1" applyFill="1" applyBorder="1" applyAlignment="1">
      <alignment horizontal="center" vertical="center"/>
    </xf>
    <xf numFmtId="0" fontId="10" fillId="2" borderId="48" xfId="0" applyFont="1" applyFill="1" applyBorder="1" applyAlignment="1">
      <alignment horizontal="center" vertical="center" wrapText="1"/>
    </xf>
    <xf numFmtId="0" fontId="0" fillId="0" borderId="0" xfId="0"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0" borderId="49" xfId="18" applyFont="1" applyBorder="1">
      <alignment/>
      <protection/>
    </xf>
    <xf numFmtId="0" fontId="14" fillId="0" borderId="50" xfId="18" applyFont="1" applyBorder="1" applyAlignment="1">
      <alignment horizontal="center" wrapText="1"/>
      <protection/>
    </xf>
    <xf numFmtId="0" fontId="14" fillId="0" borderId="51" xfId="18" applyFont="1" applyBorder="1" applyAlignment="1">
      <alignment horizontal="center" wrapText="1"/>
      <protection/>
    </xf>
    <xf numFmtId="0" fontId="12" fillId="0" borderId="52" xfId="18" applyFont="1" applyBorder="1" applyAlignment="1">
      <alignment horizontal="center"/>
      <protection/>
    </xf>
    <xf numFmtId="169" fontId="15" fillId="0" borderId="1" xfId="18" applyNumberFormat="1" applyFont="1" applyBorder="1" applyAlignment="1">
      <alignment horizontal="center"/>
      <protection/>
    </xf>
    <xf numFmtId="0" fontId="15" fillId="0" borderId="1" xfId="18" applyFont="1" applyBorder="1" applyAlignment="1">
      <alignment horizontal="center"/>
      <protection/>
    </xf>
    <xf numFmtId="0" fontId="15" fillId="0" borderId="1" xfId="18" applyFont="1" applyBorder="1" applyAlignment="1">
      <alignment horizontal="center"/>
      <protection/>
    </xf>
    <xf numFmtId="169" fontId="15" fillId="0" borderId="53" xfId="18" applyNumberFormat="1" applyFont="1" applyBorder="1" applyAlignment="1">
      <alignment horizontal="center"/>
      <protection/>
    </xf>
    <xf numFmtId="0" fontId="12" fillId="0" borderId="54" xfId="18" applyFont="1" applyBorder="1" applyAlignment="1">
      <alignment horizontal="center"/>
      <protection/>
    </xf>
    <xf numFmtId="169" fontId="15" fillId="0" borderId="55" xfId="18" applyNumberFormat="1" applyFont="1" applyBorder="1" applyAlignment="1">
      <alignment horizontal="center"/>
      <protection/>
    </xf>
    <xf numFmtId="169" fontId="5" fillId="0" borderId="55" xfId="19" applyNumberFormat="1" applyFont="1" applyBorder="1" applyAlignment="1">
      <alignment horizontal="center"/>
      <protection/>
    </xf>
    <xf numFmtId="169" fontId="5" fillId="0" borderId="56" xfId="19" applyNumberFormat="1" applyFont="1" applyBorder="1" applyAlignment="1">
      <alignment horizontal="center"/>
      <protection/>
    </xf>
    <xf numFmtId="0" fontId="3" fillId="2" borderId="1" xfId="0" applyFont="1" applyFill="1" applyBorder="1" applyAlignment="1">
      <alignment horizontal="center" wrapText="1"/>
    </xf>
    <xf numFmtId="0" fontId="3" fillId="2" borderId="17" xfId="0" applyFont="1" applyFill="1" applyBorder="1" applyAlignment="1">
      <alignment horizontal="center" wrapText="1"/>
    </xf>
    <xf numFmtId="0" fontId="3" fillId="2" borderId="5" xfId="0" applyFont="1" applyFill="1" applyBorder="1" applyAlignment="1">
      <alignment horizontal="center" wrapText="1"/>
    </xf>
    <xf numFmtId="0" fontId="1" fillId="3" borderId="0" xfId="0" applyFont="1" applyFill="1" applyAlignment="1">
      <alignment vertical="center" wrapText="1"/>
    </xf>
    <xf numFmtId="0" fontId="0" fillId="3" borderId="0" xfId="0" applyFill="1" applyAlignment="1">
      <alignment vertical="center" wrapText="1"/>
    </xf>
    <xf numFmtId="0" fontId="3" fillId="2" borderId="57" xfId="0" applyFont="1" applyFill="1" applyBorder="1" applyAlignment="1">
      <alignment horizontal="center" vertical="center" wrapText="1"/>
    </xf>
    <xf numFmtId="0" fontId="3" fillId="2" borderId="11" xfId="0" applyFont="1" applyFill="1" applyBorder="1" applyAlignment="1">
      <alignment vertical="center" wrapText="1"/>
    </xf>
    <xf numFmtId="0" fontId="2" fillId="0" borderId="16" xfId="0" applyFont="1" applyBorder="1" applyAlignment="1">
      <alignment vertical="center" wrapText="1"/>
    </xf>
    <xf numFmtId="0" fontId="2" fillId="0" borderId="28" xfId="0" applyFont="1" applyBorder="1" applyAlignment="1">
      <alignment vertical="center" wrapText="1"/>
    </xf>
    <xf numFmtId="0" fontId="0" fillId="3" borderId="0" xfId="0" applyFont="1" applyFill="1" applyAlignment="1">
      <alignment vertical="center" wrapText="1"/>
    </xf>
    <xf numFmtId="0" fontId="7" fillId="3" borderId="0" xfId="0" applyFont="1" applyFill="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10" fillId="2" borderId="33" xfId="0" applyFont="1" applyFill="1" applyBorder="1" applyAlignment="1">
      <alignment horizontal="center"/>
    </xf>
    <xf numFmtId="3" fontId="0" fillId="0" borderId="0" xfId="0" applyNumberFormat="1" applyAlignment="1">
      <alignment/>
    </xf>
    <xf numFmtId="0" fontId="2" fillId="3" borderId="30" xfId="0" applyFont="1" applyFill="1" applyBorder="1" applyAlignment="1">
      <alignment wrapText="1"/>
    </xf>
    <xf numFmtId="3" fontId="0" fillId="0" borderId="1" xfId="0" applyNumberFormat="1" applyBorder="1" applyAlignment="1">
      <alignment/>
    </xf>
    <xf numFmtId="3" fontId="0" fillId="0" borderId="4" xfId="0" applyNumberFormat="1" applyBorder="1" applyAlignment="1">
      <alignment/>
    </xf>
    <xf numFmtId="164" fontId="0" fillId="0" borderId="1" xfId="0" applyNumberFormat="1" applyFont="1" applyBorder="1" applyAlignment="1">
      <alignment horizontal="right"/>
    </xf>
    <xf numFmtId="164" fontId="0" fillId="0" borderId="5" xfId="0" applyNumberFormat="1" applyFont="1" applyBorder="1" applyAlignment="1">
      <alignment horizontal="right"/>
    </xf>
    <xf numFmtId="167" fontId="3" fillId="0" borderId="4" xfId="0" applyNumberFormat="1" applyFont="1" applyBorder="1" applyAlignment="1">
      <alignment horizontal="right"/>
    </xf>
    <xf numFmtId="167" fontId="3" fillId="0" borderId="6" xfId="0" applyNumberFormat="1" applyFont="1" applyBorder="1" applyAlignment="1">
      <alignment horizontal="right"/>
    </xf>
    <xf numFmtId="167" fontId="3" fillId="0" borderId="1" xfId="0" applyNumberFormat="1" applyFont="1" applyBorder="1" applyAlignment="1">
      <alignment horizontal="right"/>
    </xf>
    <xf numFmtId="167" fontId="3" fillId="0" borderId="5" xfId="0" applyNumberFormat="1" applyFont="1" applyBorder="1" applyAlignment="1">
      <alignment horizontal="right"/>
    </xf>
    <xf numFmtId="3" fontId="10" fillId="0" borderId="1" xfId="0" applyNumberFormat="1" applyFont="1" applyBorder="1" applyAlignment="1">
      <alignment/>
    </xf>
    <xf numFmtId="3" fontId="10" fillId="0" borderId="4" xfId="0" applyNumberFormat="1" applyFont="1" applyBorder="1" applyAlignment="1">
      <alignment/>
    </xf>
    <xf numFmtId="3" fontId="16" fillId="0" borderId="1" xfId="0" applyNumberFormat="1" applyFont="1" applyFill="1" applyBorder="1" applyAlignment="1" applyProtection="1">
      <alignment/>
      <protection locked="0"/>
    </xf>
    <xf numFmtId="14" fontId="0" fillId="0" borderId="1" xfId="0" applyNumberFormat="1" applyBorder="1" applyAlignment="1">
      <alignment/>
    </xf>
    <xf numFmtId="0" fontId="16" fillId="0" borderId="5" xfId="0" applyFont="1" applyFill="1" applyBorder="1" applyAlignment="1" applyProtection="1">
      <alignment vertical="center" wrapText="1"/>
      <protection locked="0"/>
    </xf>
    <xf numFmtId="0" fontId="16" fillId="0" borderId="25" xfId="0" applyFont="1" applyFill="1" applyBorder="1" applyAlignment="1" applyProtection="1">
      <alignment/>
      <protection locked="0"/>
    </xf>
    <xf numFmtId="0" fontId="16" fillId="0" borderId="17" xfId="0" applyFont="1" applyFill="1" applyBorder="1" applyAlignment="1" applyProtection="1">
      <alignment/>
      <protection locked="0"/>
    </xf>
    <xf numFmtId="0" fontId="0" fillId="0" borderId="45" xfId="0" applyBorder="1" applyAlignment="1">
      <alignment vertical="center"/>
    </xf>
    <xf numFmtId="3" fontId="16" fillId="0" borderId="1" xfId="0" applyNumberFormat="1" applyFont="1" applyFill="1" applyBorder="1" applyAlignment="1" applyProtection="1">
      <alignment horizontal="center" vertical="center" wrapText="1"/>
      <protection locked="0"/>
    </xf>
    <xf numFmtId="0" fontId="0" fillId="0" borderId="14" xfId="0" applyFill="1" applyBorder="1" applyAlignment="1">
      <alignment/>
    </xf>
    <xf numFmtId="0" fontId="0" fillId="0" borderId="34" xfId="0" applyFill="1" applyBorder="1" applyAlignment="1">
      <alignment/>
    </xf>
    <xf numFmtId="0" fontId="0" fillId="0" borderId="26" xfId="0" applyFill="1" applyBorder="1" applyAlignment="1">
      <alignment/>
    </xf>
    <xf numFmtId="0" fontId="16" fillId="0" borderId="25"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wrapText="1"/>
      <protection locked="0"/>
    </xf>
    <xf numFmtId="4" fontId="0" fillId="0" borderId="58" xfId="0" applyNumberFormat="1" applyBorder="1" applyAlignment="1">
      <alignment horizontal="right"/>
    </xf>
    <xf numFmtId="3" fontId="16" fillId="3" borderId="1" xfId="0" applyNumberFormat="1" applyFont="1" applyFill="1" applyBorder="1" applyAlignment="1" applyProtection="1">
      <alignment horizontal="center" vertical="center" wrapText="1"/>
      <protection locked="0"/>
    </xf>
    <xf numFmtId="14" fontId="0" fillId="0" borderId="1" xfId="0" applyNumberFormat="1" applyBorder="1" applyAlignment="1">
      <alignment horizontal="center"/>
    </xf>
    <xf numFmtId="3" fontId="0" fillId="0" borderId="16" xfId="0" applyNumberFormat="1" applyBorder="1" applyAlignment="1">
      <alignment/>
    </xf>
    <xf numFmtId="3" fontId="18" fillId="0" borderId="0" xfId="0" applyNumberFormat="1" applyFont="1" applyBorder="1" applyAlignment="1">
      <alignment/>
    </xf>
    <xf numFmtId="0" fontId="18" fillId="0" borderId="0" xfId="0" applyFont="1" applyBorder="1" applyAlignment="1">
      <alignment/>
    </xf>
    <xf numFmtId="174" fontId="17" fillId="3" borderId="0" xfId="0" applyNumberFormat="1" applyFont="1" applyFill="1" applyBorder="1" applyAlignment="1" applyProtection="1">
      <alignment/>
      <protection locked="0"/>
    </xf>
    <xf numFmtId="174" fontId="2" fillId="3" borderId="0" xfId="0" applyNumberFormat="1" applyFont="1" applyFill="1" applyAlignment="1">
      <alignment horizontal="center"/>
    </xf>
    <xf numFmtId="174" fontId="2" fillId="3" borderId="0" xfId="0" applyNumberFormat="1" applyFont="1" applyFill="1" applyAlignment="1">
      <alignment horizontal="right"/>
    </xf>
    <xf numFmtId="0" fontId="2" fillId="3" borderId="0" xfId="0" applyFont="1" applyFill="1" applyAlignment="1">
      <alignment wrapText="1"/>
    </xf>
    <xf numFmtId="174" fontId="2" fillId="0" borderId="1" xfId="0" applyNumberFormat="1" applyFont="1" applyBorder="1" applyAlignment="1">
      <alignment horizontal="center"/>
    </xf>
    <xf numFmtId="174" fontId="10" fillId="0" borderId="1" xfId="0" applyNumberFormat="1" applyFont="1" applyBorder="1" applyAlignment="1">
      <alignment horizontal="right"/>
    </xf>
    <xf numFmtId="174" fontId="10" fillId="0" borderId="5" xfId="0" applyNumberFormat="1" applyFont="1" applyBorder="1" applyAlignment="1">
      <alignment horizontal="right"/>
    </xf>
    <xf numFmtId="174" fontId="2" fillId="0" borderId="1" xfId="0" applyNumberFormat="1" applyFont="1" applyBorder="1" applyAlignment="1">
      <alignment horizontal="right"/>
    </xf>
    <xf numFmtId="174" fontId="2" fillId="0" borderId="5" xfId="0" applyNumberFormat="1" applyFont="1" applyBorder="1" applyAlignment="1">
      <alignment horizontal="right"/>
    </xf>
    <xf numFmtId="174" fontId="2" fillId="0" borderId="1" xfId="0" applyNumberFormat="1" applyFont="1" applyBorder="1" applyAlignment="1">
      <alignment horizontal="center" vertical="center"/>
    </xf>
    <xf numFmtId="174" fontId="2" fillId="0" borderId="1" xfId="0" applyNumberFormat="1" applyFont="1" applyBorder="1" applyAlignment="1">
      <alignment horizontal="right" vertical="center"/>
    </xf>
    <xf numFmtId="174" fontId="2" fillId="0" borderId="5" xfId="0" applyNumberFormat="1" applyFont="1" applyBorder="1" applyAlignment="1">
      <alignment horizontal="right" vertical="center"/>
    </xf>
    <xf numFmtId="174" fontId="2" fillId="4" borderId="22" xfId="0" applyNumberFormat="1" applyFont="1" applyFill="1" applyBorder="1" applyAlignment="1">
      <alignment horizontal="center"/>
    </xf>
    <xf numFmtId="174" fontId="2" fillId="4" borderId="22" xfId="0" applyNumberFormat="1" applyFont="1" applyFill="1" applyBorder="1" applyAlignment="1">
      <alignment horizontal="right"/>
    </xf>
    <xf numFmtId="174" fontId="2" fillId="4" borderId="45" xfId="0" applyNumberFormat="1" applyFont="1" applyFill="1" applyBorder="1" applyAlignment="1">
      <alignment horizontal="right"/>
    </xf>
    <xf numFmtId="176" fontId="2" fillId="0" borderId="1" xfId="0" applyNumberFormat="1" applyFont="1" applyBorder="1" applyAlignment="1">
      <alignment horizontal="right"/>
    </xf>
    <xf numFmtId="176" fontId="2" fillId="0" borderId="5" xfId="0" applyNumberFormat="1" applyFont="1" applyBorder="1" applyAlignment="1">
      <alignment horizontal="right"/>
    </xf>
    <xf numFmtId="174" fontId="2" fillId="0" borderId="4" xfId="0" applyNumberFormat="1" applyFont="1" applyBorder="1" applyAlignment="1">
      <alignment horizontal="center"/>
    </xf>
    <xf numFmtId="176" fontId="2" fillId="0" borderId="4" xfId="0" applyNumberFormat="1" applyFont="1" applyBorder="1" applyAlignment="1">
      <alignment horizontal="right"/>
    </xf>
    <xf numFmtId="176" fontId="2" fillId="0" borderId="6" xfId="0" applyNumberFormat="1" applyFont="1" applyBorder="1" applyAlignment="1">
      <alignment horizontal="right"/>
    </xf>
    <xf numFmtId="174" fontId="2" fillId="3" borderId="0" xfId="0" applyNumberFormat="1" applyFont="1" applyFill="1" applyAlignment="1">
      <alignment/>
    </xf>
    <xf numFmtId="174" fontId="2" fillId="0" borderId="1" xfId="0" applyNumberFormat="1" applyFont="1" applyBorder="1" applyAlignment="1">
      <alignment/>
    </xf>
    <xf numFmtId="174" fontId="2" fillId="0" borderId="5" xfId="0" applyNumberFormat="1" applyFont="1" applyBorder="1" applyAlignment="1">
      <alignment/>
    </xf>
    <xf numFmtId="174" fontId="10" fillId="0" borderId="1" xfId="0" applyNumberFormat="1" applyFont="1" applyBorder="1" applyAlignment="1">
      <alignment vertical="center"/>
    </xf>
    <xf numFmtId="174" fontId="10" fillId="0" borderId="5" xfId="0" applyNumberFormat="1" applyFont="1" applyBorder="1" applyAlignment="1">
      <alignment/>
    </xf>
    <xf numFmtId="174" fontId="2" fillId="0" borderId="5" xfId="0" applyNumberFormat="1" applyFont="1" applyBorder="1" applyAlignment="1">
      <alignment/>
    </xf>
    <xf numFmtId="174" fontId="2" fillId="0" borderId="4" xfId="0" applyNumberFormat="1" applyFont="1" applyBorder="1" applyAlignment="1">
      <alignment/>
    </xf>
    <xf numFmtId="174" fontId="2" fillId="0" borderId="6" xfId="0" applyNumberFormat="1" applyFont="1" applyBorder="1" applyAlignment="1">
      <alignment/>
    </xf>
    <xf numFmtId="0" fontId="2" fillId="3" borderId="0" xfId="0" applyFont="1" applyFill="1" applyBorder="1" applyAlignment="1">
      <alignment wrapText="1"/>
    </xf>
    <xf numFmtId="174" fontId="2" fillId="3" borderId="0" xfId="0" applyNumberFormat="1" applyFont="1" applyFill="1" applyBorder="1" applyAlignment="1">
      <alignment horizontal="center"/>
    </xf>
    <xf numFmtId="174" fontId="2" fillId="3" borderId="0" xfId="0" applyNumberFormat="1" applyFont="1" applyFill="1" applyBorder="1" applyAlignment="1">
      <alignment horizontal="right"/>
    </xf>
    <xf numFmtId="174" fontId="10" fillId="3" borderId="39" xfId="0" applyNumberFormat="1" applyFont="1" applyFill="1" applyBorder="1" applyAlignment="1">
      <alignment horizontal="right"/>
    </xf>
    <xf numFmtId="174" fontId="2" fillId="2" borderId="22" xfId="0" applyNumberFormat="1" applyFont="1" applyFill="1" applyBorder="1" applyAlignment="1">
      <alignment horizontal="center"/>
    </xf>
    <xf numFmtId="174" fontId="2" fillId="2" borderId="22" xfId="0" applyNumberFormat="1" applyFont="1" applyFill="1" applyBorder="1" applyAlignment="1">
      <alignment horizontal="right"/>
    </xf>
    <xf numFmtId="174" fontId="2" fillId="2" borderId="45" xfId="0" applyNumberFormat="1" applyFont="1" applyFill="1" applyBorder="1" applyAlignment="1">
      <alignment horizontal="right"/>
    </xf>
    <xf numFmtId="174" fontId="2" fillId="0" borderId="22" xfId="0" applyNumberFormat="1" applyFont="1" applyBorder="1" applyAlignment="1">
      <alignment horizontal="center"/>
    </xf>
    <xf numFmtId="174" fontId="2" fillId="0" borderId="14" xfId="0" applyNumberFormat="1" applyFont="1" applyBorder="1" applyAlignment="1">
      <alignment horizontal="center"/>
    </xf>
    <xf numFmtId="174" fontId="2" fillId="0" borderId="1" xfId="0" applyNumberFormat="1" applyFont="1" applyFill="1" applyBorder="1" applyAlignment="1">
      <alignment horizontal="right"/>
    </xf>
    <xf numFmtId="174" fontId="2" fillId="0" borderId="59" xfId="0" applyNumberFormat="1" applyFont="1" applyBorder="1" applyAlignment="1">
      <alignment horizontal="center"/>
    </xf>
    <xf numFmtId="174" fontId="2" fillId="0" borderId="4" xfId="0" applyNumberFormat="1" applyFont="1" applyBorder="1" applyAlignment="1">
      <alignment horizontal="right"/>
    </xf>
    <xf numFmtId="174" fontId="2" fillId="0" borderId="6" xfId="0" applyNumberFormat="1" applyFont="1" applyBorder="1" applyAlignment="1">
      <alignment horizontal="right"/>
    </xf>
    <xf numFmtId="174" fontId="2" fillId="0" borderId="17" xfId="0" applyNumberFormat="1" applyFont="1" applyBorder="1" applyAlignment="1">
      <alignment horizontal="right"/>
    </xf>
    <xf numFmtId="174" fontId="10" fillId="0" borderId="4" xfId="0" applyNumberFormat="1" applyFont="1" applyBorder="1" applyAlignment="1">
      <alignment horizontal="right"/>
    </xf>
    <xf numFmtId="174" fontId="10" fillId="0" borderId="6" xfId="0" applyNumberFormat="1" applyFont="1" applyBorder="1" applyAlignment="1">
      <alignment horizontal="right"/>
    </xf>
    <xf numFmtId="174" fontId="2" fillId="3" borderId="0" xfId="0" applyNumberFormat="1" applyFont="1" applyFill="1" applyBorder="1" applyAlignment="1">
      <alignment/>
    </xf>
    <xf numFmtId="174" fontId="2" fillId="0" borderId="1" xfId="0" applyNumberFormat="1" applyFont="1" applyBorder="1" applyAlignment="1">
      <alignment vertical="center"/>
    </xf>
    <xf numFmtId="174" fontId="2" fillId="0" borderId="5" xfId="0" applyNumberFormat="1" applyFont="1" applyBorder="1" applyAlignment="1">
      <alignment vertical="center"/>
    </xf>
    <xf numFmtId="174" fontId="10" fillId="0" borderId="4" xfId="0" applyNumberFormat="1" applyFont="1" applyBorder="1" applyAlignment="1">
      <alignment/>
    </xf>
    <xf numFmtId="174" fontId="10" fillId="0" borderId="6" xfId="0" applyNumberFormat="1" applyFont="1" applyBorder="1" applyAlignment="1">
      <alignment/>
    </xf>
    <xf numFmtId="174" fontId="2" fillId="0" borderId="17" xfId="0" applyNumberFormat="1" applyFont="1" applyBorder="1" applyAlignment="1">
      <alignment horizontal="right" vertical="center"/>
    </xf>
    <xf numFmtId="0" fontId="10" fillId="0" borderId="0" xfId="0" applyFont="1" applyFill="1" applyAlignment="1">
      <alignment wrapText="1"/>
    </xf>
    <xf numFmtId="174" fontId="2" fillId="0" borderId="0" xfId="0" applyNumberFormat="1" applyFont="1" applyFill="1" applyAlignment="1">
      <alignment/>
    </xf>
    <xf numFmtId="174" fontId="2" fillId="0" borderId="1" xfId="0" applyNumberFormat="1" applyFont="1" applyBorder="1" applyAlignment="1">
      <alignment/>
    </xf>
    <xf numFmtId="174" fontId="10" fillId="0" borderId="4" xfId="0" applyNumberFormat="1" applyFont="1" applyBorder="1" applyAlignment="1">
      <alignment/>
    </xf>
    <xf numFmtId="174" fontId="10" fillId="0" borderId="6" xfId="0" applyNumberFormat="1" applyFont="1" applyBorder="1" applyAlignment="1">
      <alignment/>
    </xf>
    <xf numFmtId="174" fontId="2" fillId="3" borderId="60" xfId="0" applyNumberFormat="1" applyFont="1" applyFill="1" applyBorder="1" applyAlignment="1">
      <alignment horizontal="right"/>
    </xf>
    <xf numFmtId="174" fontId="2" fillId="3" borderId="39" xfId="0" applyNumberFormat="1" applyFont="1" applyFill="1" applyBorder="1" applyAlignment="1">
      <alignment/>
    </xf>
    <xf numFmtId="174" fontId="2" fillId="0" borderId="32" xfId="0" applyNumberFormat="1" applyFont="1" applyBorder="1" applyAlignment="1">
      <alignment horizontal="right"/>
    </xf>
    <xf numFmtId="174" fontId="2" fillId="0" borderId="0" xfId="0" applyNumberFormat="1" applyFont="1" applyFill="1" applyBorder="1" applyAlignment="1">
      <alignment/>
    </xf>
    <xf numFmtId="174" fontId="10" fillId="0" borderId="1" xfId="0" applyNumberFormat="1" applyFont="1" applyFill="1" applyBorder="1" applyAlignment="1">
      <alignment/>
    </xf>
    <xf numFmtId="174" fontId="10" fillId="0" borderId="5" xfId="0" applyNumberFormat="1" applyFont="1" applyFill="1" applyBorder="1" applyAlignment="1">
      <alignment/>
    </xf>
    <xf numFmtId="174" fontId="2" fillId="0" borderId="4" xfId="0" applyNumberFormat="1" applyFont="1" applyBorder="1" applyAlignment="1">
      <alignment/>
    </xf>
    <xf numFmtId="174" fontId="2" fillId="0" borderId="39" xfId="0" applyNumberFormat="1" applyFont="1" applyFill="1" applyBorder="1" applyAlignment="1">
      <alignment/>
    </xf>
    <xf numFmtId="174" fontId="2" fillId="0" borderId="5" xfId="0" applyNumberFormat="1" applyFont="1" applyFill="1" applyBorder="1" applyAlignment="1">
      <alignment horizontal="right"/>
    </xf>
    <xf numFmtId="0" fontId="2" fillId="0" borderId="30" xfId="0" applyFont="1" applyBorder="1" applyAlignment="1">
      <alignment/>
    </xf>
    <xf numFmtId="0" fontId="2" fillId="0" borderId="43" xfId="0" applyFont="1" applyBorder="1" applyAlignment="1">
      <alignment/>
    </xf>
    <xf numFmtId="0" fontId="2" fillId="0" borderId="43" xfId="0" applyFont="1" applyBorder="1" applyAlignment="1">
      <alignment vertical="top" wrapText="1"/>
    </xf>
    <xf numFmtId="174" fontId="2" fillId="0" borderId="1" xfId="0" applyNumberFormat="1" applyFont="1" applyFill="1" applyBorder="1" applyAlignment="1">
      <alignment/>
    </xf>
    <xf numFmtId="174" fontId="2" fillId="0" borderId="1" xfId="0" applyNumberFormat="1" applyFont="1" applyFill="1" applyBorder="1" applyAlignment="1">
      <alignment horizontal="right" vertical="top" wrapText="1"/>
    </xf>
    <xf numFmtId="174" fontId="10" fillId="0" borderId="4" xfId="0" applyNumberFormat="1" applyFont="1" applyFill="1" applyBorder="1" applyAlignment="1">
      <alignment horizontal="right"/>
    </xf>
    <xf numFmtId="174" fontId="10" fillId="3" borderId="0" xfId="0" applyNumberFormat="1" applyFont="1" applyFill="1" applyBorder="1" applyAlignment="1">
      <alignment horizontal="right" vertical="top" wrapText="1"/>
    </xf>
    <xf numFmtId="0" fontId="2" fillId="3" borderId="0" xfId="0" applyFont="1" applyFill="1" applyAlignment="1">
      <alignment wrapText="1"/>
    </xf>
    <xf numFmtId="174" fontId="2" fillId="3" borderId="14" xfId="0" applyNumberFormat="1" applyFont="1" applyFill="1" applyBorder="1" applyAlignment="1">
      <alignment horizontal="center"/>
    </xf>
    <xf numFmtId="174" fontId="2" fillId="3" borderId="34" xfId="0" applyNumberFormat="1" applyFont="1" applyFill="1" applyBorder="1" applyAlignment="1">
      <alignment horizontal="center"/>
    </xf>
    <xf numFmtId="174" fontId="2" fillId="0" borderId="6" xfId="0" applyNumberFormat="1" applyFont="1" applyBorder="1" applyAlignment="1">
      <alignment/>
    </xf>
    <xf numFmtId="174" fontId="2" fillId="3" borderId="36" xfId="0" applyNumberFormat="1" applyFont="1" applyFill="1" applyBorder="1" applyAlignment="1">
      <alignment horizontal="center"/>
    </xf>
    <xf numFmtId="174" fontId="2" fillId="0" borderId="9" xfId="0" applyNumberFormat="1" applyFont="1" applyBorder="1" applyAlignment="1">
      <alignment horizontal="right"/>
    </xf>
    <xf numFmtId="174" fontId="2" fillId="0" borderId="48" xfId="0" applyNumberFormat="1" applyFont="1" applyBorder="1" applyAlignment="1">
      <alignment horizontal="right"/>
    </xf>
    <xf numFmtId="174" fontId="2" fillId="3" borderId="22" xfId="0" applyNumberFormat="1" applyFont="1" applyFill="1" applyBorder="1" applyAlignment="1">
      <alignment horizontal="center"/>
    </xf>
    <xf numFmtId="174" fontId="2" fillId="0" borderId="10" xfId="0" applyNumberFormat="1" applyFont="1" applyBorder="1" applyAlignment="1">
      <alignment/>
    </xf>
    <xf numFmtId="174" fontId="2" fillId="0" borderId="24" xfId="0" applyNumberFormat="1" applyFont="1" applyBorder="1" applyAlignment="1">
      <alignment/>
    </xf>
    <xf numFmtId="174" fontId="2" fillId="3" borderId="59" xfId="0" applyNumberFormat="1" applyFont="1" applyFill="1" applyBorder="1" applyAlignment="1">
      <alignment horizontal="center"/>
    </xf>
    <xf numFmtId="2" fontId="2" fillId="3" borderId="0" xfId="0" applyNumberFormat="1" applyFont="1" applyFill="1" applyAlignment="1">
      <alignment wrapText="1"/>
    </xf>
    <xf numFmtId="0" fontId="2" fillId="0" borderId="0" xfId="0" applyFont="1" applyAlignment="1">
      <alignment wrapText="1"/>
    </xf>
    <xf numFmtId="174" fontId="2" fillId="0" borderId="0" xfId="0" applyNumberFormat="1" applyFont="1" applyAlignment="1">
      <alignment horizontal="center"/>
    </xf>
    <xf numFmtId="174" fontId="2" fillId="0" borderId="0" xfId="0" applyNumberFormat="1" applyFont="1" applyAlignment="1">
      <alignment horizontal="right"/>
    </xf>
    <xf numFmtId="1" fontId="10" fillId="2" borderId="33"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xf>
    <xf numFmtId="1" fontId="10" fillId="2" borderId="32" xfId="0" applyNumberFormat="1" applyFont="1" applyFill="1" applyBorder="1" applyAlignment="1">
      <alignment horizontal="center" vertical="center"/>
    </xf>
    <xf numFmtId="1" fontId="0" fillId="0" borderId="0" xfId="0" applyNumberFormat="1" applyAlignment="1">
      <alignment horizontal="center" vertical="center"/>
    </xf>
    <xf numFmtId="1" fontId="10" fillId="2" borderId="41"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0" fillId="0" borderId="0" xfId="0" applyNumberFormat="1" applyAlignment="1">
      <alignment vertical="center"/>
    </xf>
    <xf numFmtId="1" fontId="10" fillId="2" borderId="61" xfId="0" applyNumberFormat="1" applyFont="1" applyFill="1" applyBorder="1" applyAlignment="1">
      <alignment horizontal="center" vertical="center"/>
    </xf>
    <xf numFmtId="1" fontId="10" fillId="2" borderId="62" xfId="0" applyNumberFormat="1" applyFont="1" applyFill="1" applyBorder="1" applyAlignment="1">
      <alignment horizontal="center" vertical="center"/>
    </xf>
    <xf numFmtId="1" fontId="10" fillId="2" borderId="33" xfId="0" applyNumberFormat="1" applyFont="1" applyFill="1" applyBorder="1" applyAlignment="1">
      <alignment horizontal="left" vertical="center" wrapText="1"/>
    </xf>
    <xf numFmtId="1" fontId="10" fillId="2" borderId="3" xfId="0" applyNumberFormat="1" applyFont="1" applyFill="1" applyBorder="1" applyAlignment="1" applyProtection="1">
      <alignment horizontal="centerContinuous" vertical="center"/>
      <protection locked="0"/>
    </xf>
    <xf numFmtId="1" fontId="10" fillId="2" borderId="32" xfId="0" applyNumberFormat="1" applyFont="1" applyFill="1" applyBorder="1" applyAlignment="1" applyProtection="1">
      <alignment horizontal="centerContinuous" vertical="center"/>
      <protection locked="0"/>
    </xf>
    <xf numFmtId="1" fontId="2" fillId="0" borderId="0" xfId="0" applyNumberFormat="1" applyFont="1" applyBorder="1" applyAlignment="1">
      <alignment vertical="center"/>
    </xf>
    <xf numFmtId="1" fontId="10" fillId="3" borderId="0" xfId="0" applyNumberFormat="1" applyFont="1" applyFill="1" applyBorder="1" applyAlignment="1" applyProtection="1">
      <alignment vertical="center"/>
      <protection locked="0"/>
    </xf>
    <xf numFmtId="1" fontId="2" fillId="0" borderId="0" xfId="0" applyNumberFormat="1" applyFont="1" applyAlignment="1">
      <alignment vertical="center"/>
    </xf>
    <xf numFmtId="1" fontId="10" fillId="3" borderId="0" xfId="0" applyNumberFormat="1" applyFont="1" applyFill="1" applyAlignment="1">
      <alignment vertical="center" wrapText="1"/>
    </xf>
    <xf numFmtId="1" fontId="2" fillId="3" borderId="0" xfId="0" applyNumberFormat="1" applyFont="1" applyFill="1" applyAlignment="1">
      <alignment horizontal="center" vertical="center"/>
    </xf>
    <xf numFmtId="1" fontId="2" fillId="3" borderId="0" xfId="0" applyNumberFormat="1" applyFont="1" applyFill="1" applyAlignment="1">
      <alignment vertical="center"/>
    </xf>
    <xf numFmtId="1" fontId="2" fillId="2" borderId="31" xfId="0" applyNumberFormat="1" applyFont="1" applyFill="1" applyBorder="1" applyAlignment="1">
      <alignment horizontal="center" vertical="center"/>
    </xf>
    <xf numFmtId="174" fontId="2" fillId="0" borderId="5" xfId="0" applyNumberFormat="1" applyFont="1" applyFill="1" applyBorder="1" applyAlignment="1">
      <alignment horizontal="right" vertical="top" wrapText="1"/>
    </xf>
    <xf numFmtId="0" fontId="19" fillId="5" borderId="0" xfId="0" applyFont="1" applyFill="1" applyAlignment="1">
      <alignment/>
    </xf>
    <xf numFmtId="174" fontId="10" fillId="0" borderId="4" xfId="0" applyNumberFormat="1" applyFont="1" applyFill="1" applyBorder="1" applyAlignment="1">
      <alignment/>
    </xf>
    <xf numFmtId="174" fontId="10" fillId="0" borderId="6" xfId="0" applyNumberFormat="1" applyFont="1" applyFill="1" applyBorder="1" applyAlignment="1">
      <alignment/>
    </xf>
    <xf numFmtId="174" fontId="10" fillId="0" borderId="6" xfId="0" applyNumberFormat="1" applyFont="1" applyFill="1" applyBorder="1" applyAlignment="1">
      <alignment horizontal="right"/>
    </xf>
    <xf numFmtId="174" fontId="10" fillId="0" borderId="1" xfId="0" applyNumberFormat="1" applyFont="1" applyFill="1" applyBorder="1" applyAlignment="1">
      <alignment vertical="center"/>
    </xf>
    <xf numFmtId="174" fontId="10" fillId="0" borderId="5" xfId="0" applyNumberFormat="1" applyFont="1" applyFill="1" applyBorder="1" applyAlignment="1">
      <alignment vertical="center"/>
    </xf>
    <xf numFmtId="174" fontId="2" fillId="0" borderId="5" xfId="0" applyNumberFormat="1" applyFont="1" applyFill="1" applyBorder="1" applyAlignment="1">
      <alignment/>
    </xf>
    <xf numFmtId="174" fontId="10" fillId="0" borderId="6" xfId="0" applyNumberFormat="1" applyFont="1" applyFill="1" applyBorder="1" applyAlignment="1">
      <alignment horizontal="right" vertical="center"/>
    </xf>
    <xf numFmtId="174" fontId="2" fillId="0" borderId="9" xfId="0" applyNumberFormat="1" applyFont="1" applyFill="1" applyBorder="1" applyAlignment="1" applyProtection="1">
      <alignment/>
      <protection locked="0"/>
    </xf>
    <xf numFmtId="174" fontId="2" fillId="0" borderId="42" xfId="0" applyNumberFormat="1" applyFont="1" applyFill="1" applyBorder="1" applyAlignment="1" applyProtection="1">
      <alignment/>
      <protection locked="0"/>
    </xf>
    <xf numFmtId="174" fontId="2" fillId="0" borderId="10" xfId="0" applyNumberFormat="1" applyFont="1" applyFill="1" applyBorder="1" applyAlignment="1" applyProtection="1">
      <alignment/>
      <protection locked="0"/>
    </xf>
    <xf numFmtId="174" fontId="2" fillId="0" borderId="44" xfId="0" applyNumberFormat="1" applyFont="1" applyFill="1" applyBorder="1" applyAlignment="1" applyProtection="1">
      <alignment/>
      <protection locked="0"/>
    </xf>
    <xf numFmtId="174" fontId="10" fillId="0" borderId="1" xfId="0" applyNumberFormat="1" applyFont="1" applyFill="1" applyBorder="1" applyAlignment="1">
      <alignment horizontal="right"/>
    </xf>
    <xf numFmtId="174" fontId="10" fillId="0" borderId="5" xfId="0" applyNumberFormat="1" applyFont="1" applyFill="1" applyBorder="1" applyAlignment="1">
      <alignment horizontal="right"/>
    </xf>
    <xf numFmtId="0" fontId="20" fillId="0" borderId="0" xfId="0" applyFont="1" applyAlignment="1">
      <alignment/>
    </xf>
    <xf numFmtId="174" fontId="2" fillId="0" borderId="1" xfId="0" applyNumberFormat="1" applyFont="1" applyFill="1" applyBorder="1" applyAlignment="1">
      <alignment/>
    </xf>
    <xf numFmtId="174" fontId="2" fillId="0" borderId="5" xfId="0" applyNumberFormat="1" applyFont="1" applyFill="1" applyBorder="1" applyAlignment="1">
      <alignment/>
    </xf>
    <xf numFmtId="174" fontId="2" fillId="0" borderId="0" xfId="0" applyNumberFormat="1" applyFont="1" applyBorder="1" applyAlignment="1">
      <alignment horizontal="right"/>
    </xf>
    <xf numFmtId="174" fontId="0" fillId="0" borderId="0" xfId="0" applyNumberFormat="1" applyBorder="1" applyAlignment="1">
      <alignment/>
    </xf>
    <xf numFmtId="174" fontId="21" fillId="0" borderId="0" xfId="0" applyNumberFormat="1" applyFont="1" applyFill="1" applyBorder="1" applyAlignment="1">
      <alignment horizontal="left"/>
    </xf>
    <xf numFmtId="174" fontId="22" fillId="3" borderId="0" xfId="0" applyNumberFormat="1" applyFont="1" applyFill="1" applyAlignment="1">
      <alignment horizontal="center"/>
    </xf>
    <xf numFmtId="174" fontId="22" fillId="3" borderId="0" xfId="0" applyNumberFormat="1" applyFont="1" applyFill="1" applyAlignment="1">
      <alignment horizontal="right"/>
    </xf>
    <xf numFmtId="174" fontId="2" fillId="0" borderId="18" xfId="0" applyNumberFormat="1" applyFont="1" applyBorder="1" applyAlignment="1">
      <alignment horizontal="right"/>
    </xf>
    <xf numFmtId="174" fontId="2" fillId="0" borderId="48" xfId="0" applyNumberFormat="1" applyFont="1" applyBorder="1" applyAlignment="1">
      <alignment/>
    </xf>
    <xf numFmtId="0" fontId="20" fillId="0" borderId="0" xfId="0" applyFont="1" applyBorder="1" applyAlignment="1">
      <alignment/>
    </xf>
    <xf numFmtId="174" fontId="23" fillId="3" borderId="0" xfId="0" applyNumberFormat="1" applyFont="1" applyFill="1" applyAlignment="1">
      <alignment horizontal="center"/>
    </xf>
    <xf numFmtId="174" fontId="24" fillId="3" borderId="0" xfId="0" applyNumberFormat="1" applyFont="1" applyFill="1" applyAlignment="1">
      <alignment horizontal="center"/>
    </xf>
    <xf numFmtId="0" fontId="25"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16" xfId="0" applyFont="1" applyFill="1" applyBorder="1" applyAlignment="1" applyProtection="1">
      <alignment/>
      <protection locked="0"/>
    </xf>
    <xf numFmtId="0" fontId="0" fillId="0" borderId="1" xfId="0" applyFont="1" applyFill="1" applyBorder="1" applyAlignment="1" applyProtection="1">
      <alignment/>
      <protection locked="0"/>
    </xf>
    <xf numFmtId="3" fontId="0" fillId="0" borderId="1" xfId="0" applyNumberFormat="1" applyFont="1" applyFill="1" applyBorder="1" applyAlignment="1" applyProtection="1">
      <alignment/>
      <protection locked="0"/>
    </xf>
    <xf numFmtId="0" fontId="0" fillId="0" borderId="1" xfId="0" applyFont="1" applyFill="1" applyBorder="1" applyAlignment="1" applyProtection="1">
      <alignment horizontal="right"/>
      <protection locked="0"/>
    </xf>
    <xf numFmtId="0" fontId="0" fillId="0" borderId="5" xfId="0" applyFont="1" applyFill="1" applyBorder="1" applyAlignment="1" applyProtection="1">
      <alignment horizontal="center"/>
      <protection locked="0"/>
    </xf>
    <xf numFmtId="0" fontId="0" fillId="0" borderId="11" xfId="0" applyFont="1" applyFill="1" applyBorder="1" applyAlignment="1" applyProtection="1">
      <alignment/>
      <protection locked="0"/>
    </xf>
    <xf numFmtId="3" fontId="0" fillId="0" borderId="35" xfId="0" applyNumberFormat="1" applyFont="1" applyFill="1" applyBorder="1" applyAlignment="1" applyProtection="1">
      <alignment/>
      <protection locked="0"/>
    </xf>
    <xf numFmtId="1" fontId="0" fillId="0" borderId="28" xfId="0" applyNumberFormat="1" applyFont="1" applyFill="1" applyBorder="1" applyAlignment="1" applyProtection="1">
      <alignment/>
      <protection locked="0"/>
    </xf>
    <xf numFmtId="1" fontId="0" fillId="0" borderId="4" xfId="0" applyNumberFormat="1" applyFont="1" applyFill="1" applyBorder="1" applyAlignment="1" applyProtection="1">
      <alignment/>
      <protection locked="0"/>
    </xf>
    <xf numFmtId="3" fontId="0" fillId="0" borderId="4" xfId="0" applyNumberFormat="1" applyFont="1" applyFill="1" applyBorder="1" applyAlignment="1" applyProtection="1">
      <alignment/>
      <protection locked="0"/>
    </xf>
    <xf numFmtId="1" fontId="0" fillId="0" borderId="4" xfId="0" applyNumberFormat="1" applyFont="1" applyFill="1" applyBorder="1" applyAlignment="1" applyProtection="1">
      <alignment horizontal="right"/>
      <protection locked="0"/>
    </xf>
    <xf numFmtId="49" fontId="0" fillId="0" borderId="4" xfId="0" applyNumberFormat="1" applyFont="1" applyFill="1" applyBorder="1" applyAlignment="1" applyProtection="1">
      <alignment horizontal="right"/>
      <protection locked="0"/>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0" fontId="0" fillId="0" borderId="0" xfId="0" applyFont="1" applyFill="1" applyBorder="1" applyAlignment="1">
      <alignment/>
    </xf>
    <xf numFmtId="0" fontId="0" fillId="0" borderId="1" xfId="0" applyFill="1" applyBorder="1" applyAlignment="1">
      <alignment horizontal="center"/>
    </xf>
    <xf numFmtId="174" fontId="22" fillId="3" borderId="60" xfId="0" applyNumberFormat="1" applyFont="1" applyFill="1" applyBorder="1" applyAlignment="1">
      <alignment horizontal="right"/>
    </xf>
    <xf numFmtId="174" fontId="22" fillId="3" borderId="0" xfId="0" applyNumberFormat="1" applyFont="1" applyFill="1" applyBorder="1" applyAlignment="1">
      <alignment horizontal="right"/>
    </xf>
    <xf numFmtId="174" fontId="2" fillId="0" borderId="48" xfId="0" applyNumberFormat="1" applyFont="1" applyFill="1" applyBorder="1" applyAlignment="1">
      <alignment horizontal="right"/>
    </xf>
    <xf numFmtId="174" fontId="2" fillId="0" borderId="9" xfId="0" applyNumberFormat="1" applyFont="1" applyFill="1" applyBorder="1" applyAlignment="1">
      <alignment horizontal="right"/>
    </xf>
    <xf numFmtId="174" fontId="10" fillId="0" borderId="1" xfId="0" applyNumberFormat="1" applyFont="1" applyBorder="1" applyAlignment="1">
      <alignment horizontal="center"/>
    </xf>
    <xf numFmtId="174" fontId="2" fillId="0" borderId="1" xfId="0" applyNumberFormat="1" applyFont="1" applyFill="1" applyBorder="1" applyAlignment="1">
      <alignment horizontal="right" vertical="center"/>
    </xf>
    <xf numFmtId="174" fontId="2" fillId="0" borderId="4" xfId="0" applyNumberFormat="1" applyFont="1" applyFill="1" applyBorder="1" applyAlignment="1">
      <alignment horizontal="right"/>
    </xf>
    <xf numFmtId="167" fontId="3" fillId="0" borderId="0" xfId="0" applyNumberFormat="1" applyFont="1" applyFill="1" applyBorder="1" applyAlignment="1">
      <alignment horizontal="right"/>
    </xf>
    <xf numFmtId="174" fontId="2" fillId="0" borderId="3" xfId="0" applyNumberFormat="1" applyFont="1" applyFill="1" applyBorder="1" applyAlignment="1">
      <alignment horizontal="right"/>
    </xf>
    <xf numFmtId="174" fontId="2" fillId="0" borderId="6" xfId="0" applyNumberFormat="1" applyFont="1" applyFill="1" applyBorder="1" applyAlignment="1">
      <alignment horizontal="right"/>
    </xf>
    <xf numFmtId="174" fontId="2" fillId="0" borderId="45" xfId="0" applyNumberFormat="1" applyFont="1" applyFill="1" applyBorder="1" applyAlignment="1">
      <alignment horizontal="right"/>
    </xf>
    <xf numFmtId="174" fontId="2" fillId="0" borderId="45" xfId="0" applyNumberFormat="1" applyFont="1" applyFill="1" applyBorder="1" applyAlignment="1">
      <alignment horizontal="right" vertical="center"/>
    </xf>
    <xf numFmtId="4" fontId="2" fillId="0" borderId="16" xfId="0" applyNumberFormat="1" applyFont="1" applyBorder="1" applyAlignment="1">
      <alignment horizontal="center"/>
    </xf>
    <xf numFmtId="4" fontId="2" fillId="0" borderId="1"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3" fontId="2" fillId="0" borderId="1" xfId="0" applyNumberFormat="1" applyFont="1" applyBorder="1" applyAlignment="1">
      <alignment horizontal="right" vertical="center"/>
    </xf>
    <xf numFmtId="4" fontId="2" fillId="0" borderId="1" xfId="0" applyNumberFormat="1" applyFont="1" applyBorder="1" applyAlignment="1">
      <alignment horizontal="center" vertical="center"/>
    </xf>
    <xf numFmtId="4" fontId="2" fillId="0" borderId="1" xfId="0" applyNumberFormat="1" applyFont="1" applyBorder="1" applyAlignment="1">
      <alignment vertical="center" wrapText="1"/>
    </xf>
    <xf numFmtId="4" fontId="2" fillId="0" borderId="1" xfId="0" applyNumberFormat="1" applyFont="1" applyBorder="1" applyAlignment="1">
      <alignment horizontal="center" wrapText="1"/>
    </xf>
    <xf numFmtId="4" fontId="2" fillId="0" borderId="4" xfId="0" applyNumberFormat="1" applyFont="1" applyBorder="1" applyAlignment="1">
      <alignment horizontal="center" vertical="center"/>
    </xf>
    <xf numFmtId="4" fontId="2" fillId="0" borderId="4" xfId="0" applyNumberFormat="1" applyFont="1" applyBorder="1" applyAlignment="1">
      <alignment vertical="center" wrapText="1"/>
    </xf>
    <xf numFmtId="4" fontId="2" fillId="0" borderId="4" xfId="0" applyNumberFormat="1" applyFont="1" applyBorder="1" applyAlignment="1">
      <alignment horizontal="center" wrapText="1"/>
    </xf>
    <xf numFmtId="4" fontId="2" fillId="0" borderId="4" xfId="0" applyNumberFormat="1" applyFont="1" applyFill="1" applyBorder="1" applyAlignment="1">
      <alignment horizontal="center" vertical="center" wrapText="1"/>
    </xf>
    <xf numFmtId="3" fontId="2" fillId="0" borderId="4" xfId="0" applyNumberFormat="1" applyFont="1" applyBorder="1" applyAlignment="1">
      <alignment horizontal="right" vertical="center"/>
    </xf>
    <xf numFmtId="0" fontId="0" fillId="2" borderId="0" xfId="0" applyFill="1" applyBorder="1" applyAlignment="1">
      <alignment vertical="center"/>
    </xf>
    <xf numFmtId="0" fontId="3" fillId="2" borderId="0" xfId="0" applyFont="1" applyFill="1" applyBorder="1" applyAlignment="1">
      <alignment horizontal="right" vertical="center" wrapText="1"/>
    </xf>
    <xf numFmtId="0" fontId="0" fillId="2" borderId="0" xfId="0" applyFill="1" applyBorder="1" applyAlignment="1">
      <alignment/>
    </xf>
    <xf numFmtId="0" fontId="3" fillId="2" borderId="0" xfId="0" applyFont="1" applyFill="1" applyBorder="1" applyAlignment="1">
      <alignment horizontal="right" vertical="top"/>
    </xf>
    <xf numFmtId="3" fontId="0" fillId="0" borderId="14" xfId="0" applyNumberFormat="1" applyFill="1" applyBorder="1" applyAlignment="1">
      <alignment/>
    </xf>
    <xf numFmtId="3" fontId="0" fillId="0" borderId="0" xfId="0" applyNumberFormat="1" applyFill="1" applyBorder="1" applyAlignment="1">
      <alignment/>
    </xf>
    <xf numFmtId="0" fontId="2" fillId="0" borderId="1" xfId="0" applyFont="1" applyFill="1" applyBorder="1" applyAlignment="1">
      <alignment/>
    </xf>
    <xf numFmtId="10" fontId="2" fillId="0" borderId="1" xfId="0" applyNumberFormat="1" applyFont="1" applyFill="1" applyBorder="1" applyAlignment="1">
      <alignment/>
    </xf>
    <xf numFmtId="9" fontId="2" fillId="0" borderId="1" xfId="0" applyNumberFormat="1" applyFont="1" applyFill="1" applyBorder="1" applyAlignment="1">
      <alignment/>
    </xf>
    <xf numFmtId="167" fontId="0" fillId="0" borderId="0" xfId="0" applyNumberFormat="1" applyFill="1" applyAlignment="1">
      <alignment horizontal="right"/>
    </xf>
    <xf numFmtId="167" fontId="2" fillId="4" borderId="42" xfId="0" applyNumberFormat="1" applyFont="1" applyFill="1" applyBorder="1" applyAlignment="1">
      <alignment horizontal="right"/>
    </xf>
    <xf numFmtId="0" fontId="20" fillId="0" borderId="0" xfId="0" applyFont="1" applyFill="1" applyAlignment="1">
      <alignment/>
    </xf>
    <xf numFmtId="174" fontId="2" fillId="0" borderId="14" xfId="0" applyNumberFormat="1" applyFont="1" applyFill="1" applyBorder="1" applyAlignment="1">
      <alignment horizontal="center"/>
    </xf>
    <xf numFmtId="0" fontId="16" fillId="0" borderId="25" xfId="0" applyFont="1" applyFill="1" applyBorder="1" applyAlignment="1" applyProtection="1">
      <alignment vertical="top"/>
      <protection locked="0"/>
    </xf>
    <xf numFmtId="0" fontId="0" fillId="3" borderId="14" xfId="0" applyFill="1" applyBorder="1" applyAlignment="1">
      <alignment vertical="top"/>
    </xf>
    <xf numFmtId="0" fontId="16" fillId="0" borderId="17" xfId="0" applyFont="1" applyFill="1" applyBorder="1" applyAlignment="1" applyProtection="1">
      <alignment vertical="top"/>
      <protection locked="0"/>
    </xf>
    <xf numFmtId="3" fontId="16" fillId="0" borderId="1" xfId="0" applyNumberFormat="1" applyFont="1" applyFill="1" applyBorder="1" applyAlignment="1" applyProtection="1">
      <alignment vertical="top"/>
      <protection locked="0"/>
    </xf>
    <xf numFmtId="0" fontId="0" fillId="0" borderId="1" xfId="0" applyBorder="1" applyAlignment="1">
      <alignment horizontal="right" vertical="top"/>
    </xf>
    <xf numFmtId="3" fontId="0" fillId="0" borderId="1" xfId="0" applyNumberFormat="1" applyBorder="1" applyAlignment="1">
      <alignment vertical="top"/>
    </xf>
    <xf numFmtId="0" fontId="0" fillId="0" borderId="17" xfId="0" applyBorder="1" applyAlignment="1">
      <alignment vertical="top"/>
    </xf>
    <xf numFmtId="0" fontId="16" fillId="0" borderId="5" xfId="0" applyFont="1" applyFill="1" applyBorder="1" applyAlignment="1" applyProtection="1">
      <alignment vertical="top" wrapText="1"/>
      <protection locked="0"/>
    </xf>
    <xf numFmtId="14" fontId="0" fillId="0" borderId="1" xfId="0" applyNumberFormat="1" applyBorder="1" applyAlignment="1">
      <alignment vertical="top"/>
    </xf>
    <xf numFmtId="0" fontId="16" fillId="0" borderId="1" xfId="0" applyFont="1" applyFill="1" applyBorder="1" applyAlignment="1" applyProtection="1">
      <alignment vertical="top" wrapText="1"/>
      <protection locked="0"/>
    </xf>
    <xf numFmtId="174" fontId="10" fillId="0" borderId="1" xfId="0" applyNumberFormat="1" applyFont="1" applyFill="1" applyBorder="1" applyAlignment="1">
      <alignment horizontal="right" vertical="center"/>
    </xf>
    <xf numFmtId="174" fontId="10" fillId="0" borderId="5" xfId="0" applyNumberFormat="1" applyFont="1" applyFill="1" applyBorder="1" applyAlignment="1">
      <alignment horizontal="right" vertical="center"/>
    </xf>
    <xf numFmtId="174" fontId="2" fillId="0" borderId="5" xfId="0" applyNumberFormat="1" applyFont="1" applyFill="1" applyBorder="1" applyAlignment="1">
      <alignment horizontal="right" vertical="center"/>
    </xf>
    <xf numFmtId="174" fontId="10" fillId="0" borderId="14" xfId="0" applyNumberFormat="1" applyFont="1" applyBorder="1" applyAlignment="1">
      <alignment vertical="center"/>
    </xf>
    <xf numFmtId="174" fontId="2" fillId="0" borderId="14" xfId="0" applyNumberFormat="1" applyFont="1" applyBorder="1" applyAlignment="1">
      <alignment/>
    </xf>
    <xf numFmtId="174" fontId="10" fillId="0" borderId="14" xfId="0" applyNumberFormat="1" applyFont="1" applyBorder="1" applyAlignment="1">
      <alignment/>
    </xf>
    <xf numFmtId="174" fontId="2" fillId="0" borderId="34" xfId="0" applyNumberFormat="1" applyFont="1" applyBorder="1" applyAlignment="1">
      <alignment/>
    </xf>
    <xf numFmtId="49" fontId="3" fillId="2" borderId="32" xfId="0" applyNumberFormat="1" applyFont="1" applyFill="1" applyBorder="1" applyAlignment="1">
      <alignment horizontal="center"/>
    </xf>
    <xf numFmtId="49" fontId="10" fillId="2" borderId="32" xfId="0" applyNumberFormat="1" applyFont="1" applyFill="1" applyBorder="1" applyAlignment="1">
      <alignment horizontal="center"/>
    </xf>
    <xf numFmtId="49" fontId="10" fillId="2" borderId="41" xfId="0" applyNumberFormat="1" applyFont="1" applyFill="1" applyBorder="1" applyAlignment="1">
      <alignment horizontal="center"/>
    </xf>
    <xf numFmtId="174" fontId="10" fillId="0" borderId="5" xfId="0" applyNumberFormat="1" applyFont="1" applyBorder="1" applyAlignment="1">
      <alignment vertical="center"/>
    </xf>
    <xf numFmtId="1" fontId="10" fillId="2" borderId="31" xfId="0" applyNumberFormat="1" applyFont="1" applyFill="1" applyBorder="1" applyAlignment="1">
      <alignment horizontal="center" vertical="center"/>
    </xf>
    <xf numFmtId="174" fontId="2" fillId="0" borderId="14" xfId="0" applyNumberFormat="1" applyFont="1" applyBorder="1" applyAlignment="1">
      <alignment horizontal="right"/>
    </xf>
    <xf numFmtId="174" fontId="10" fillId="0" borderId="34" xfId="0" applyNumberFormat="1" applyFont="1" applyBorder="1" applyAlignment="1">
      <alignment horizontal="right"/>
    </xf>
    <xf numFmtId="174" fontId="2" fillId="0" borderId="14" xfId="0" applyNumberFormat="1" applyFont="1" applyBorder="1" applyAlignment="1">
      <alignment vertical="center"/>
    </xf>
    <xf numFmtId="174" fontId="10" fillId="0" borderId="34" xfId="0" applyNumberFormat="1" applyFont="1" applyBorder="1" applyAlignment="1">
      <alignment/>
    </xf>
    <xf numFmtId="0" fontId="2" fillId="0" borderId="30" xfId="0" applyFont="1" applyBorder="1" applyAlignment="1">
      <alignment wrapText="1"/>
    </xf>
    <xf numFmtId="174" fontId="2" fillId="0" borderId="14" xfId="0" applyNumberFormat="1" applyFont="1" applyBorder="1" applyAlignment="1">
      <alignment horizontal="right" vertical="center"/>
    </xf>
    <xf numFmtId="174" fontId="2" fillId="0" borderId="36" xfId="0" applyNumberFormat="1" applyFont="1" applyBorder="1" applyAlignment="1">
      <alignment horizontal="right"/>
    </xf>
    <xf numFmtId="174" fontId="2" fillId="0" borderId="34" xfId="0" applyNumberFormat="1" applyFont="1" applyBorder="1" applyAlignment="1">
      <alignment horizontal="right"/>
    </xf>
    <xf numFmtId="174" fontId="10" fillId="0" borderId="14" xfId="0" applyNumberFormat="1" applyFont="1" applyBorder="1" applyAlignment="1">
      <alignment horizontal="right"/>
    </xf>
    <xf numFmtId="174" fontId="2" fillId="0" borderId="14" xfId="0" applyNumberFormat="1" applyFont="1" applyBorder="1" applyAlignment="1">
      <alignment/>
    </xf>
    <xf numFmtId="174" fontId="10" fillId="0" borderId="34" xfId="0" applyNumberFormat="1" applyFont="1" applyFill="1" applyBorder="1" applyAlignment="1">
      <alignment/>
    </xf>
    <xf numFmtId="1" fontId="10" fillId="2" borderId="63" xfId="0" applyNumberFormat="1" applyFont="1" applyFill="1" applyBorder="1" applyAlignment="1">
      <alignment horizontal="center" vertical="center" wrapText="1"/>
    </xf>
    <xf numFmtId="0" fontId="2" fillId="0" borderId="33" xfId="0" applyFont="1" applyBorder="1" applyAlignment="1">
      <alignment wrapText="1"/>
    </xf>
    <xf numFmtId="1" fontId="10" fillId="2" borderId="64" xfId="0" applyNumberFormat="1" applyFont="1" applyFill="1" applyBorder="1" applyAlignment="1">
      <alignment horizontal="center" vertical="center"/>
    </xf>
    <xf numFmtId="174" fontId="2" fillId="0" borderId="31" xfId="0" applyNumberFormat="1" applyFont="1" applyBorder="1" applyAlignment="1">
      <alignment horizontal="right"/>
    </xf>
    <xf numFmtId="0" fontId="2" fillId="0" borderId="43" xfId="0" applyFont="1" applyBorder="1" applyAlignment="1">
      <alignment wrapText="1"/>
    </xf>
    <xf numFmtId="174" fontId="2" fillId="0" borderId="20" xfId="0" applyNumberFormat="1" applyFont="1" applyBorder="1" applyAlignment="1">
      <alignment horizontal="right"/>
    </xf>
    <xf numFmtId="174" fontId="2" fillId="0" borderId="10" xfId="0" applyNumberFormat="1" applyFont="1" applyBorder="1" applyAlignment="1">
      <alignment horizontal="right"/>
    </xf>
    <xf numFmtId="174" fontId="2" fillId="0" borderId="24" xfId="0" applyNumberFormat="1" applyFont="1" applyBorder="1" applyAlignment="1">
      <alignment horizontal="right"/>
    </xf>
    <xf numFmtId="174" fontId="2" fillId="0" borderId="31" xfId="0" applyNumberFormat="1" applyFont="1" applyFill="1" applyBorder="1" applyAlignment="1">
      <alignment horizontal="right"/>
    </xf>
    <xf numFmtId="174" fontId="2" fillId="0" borderId="14" xfId="0" applyNumberFormat="1" applyFont="1" applyFill="1" applyBorder="1" applyAlignment="1">
      <alignment horizontal="right"/>
    </xf>
    <xf numFmtId="174" fontId="10" fillId="0" borderId="14" xfId="0" applyNumberFormat="1" applyFont="1" applyFill="1" applyBorder="1" applyAlignment="1">
      <alignment horizontal="right"/>
    </xf>
    <xf numFmtId="174" fontId="2" fillId="0" borderId="34" xfId="0" applyNumberFormat="1" applyFont="1" applyFill="1" applyBorder="1" applyAlignment="1">
      <alignment horizontal="right"/>
    </xf>
    <xf numFmtId="174" fontId="2" fillId="0" borderId="14" xfId="0" applyNumberFormat="1" applyFont="1" applyFill="1" applyBorder="1" applyAlignment="1">
      <alignment horizontal="right" vertical="center"/>
    </xf>
    <xf numFmtId="174" fontId="10" fillId="0" borderId="34" xfId="0" applyNumberFormat="1" applyFont="1" applyFill="1" applyBorder="1" applyAlignment="1">
      <alignment horizontal="right"/>
    </xf>
    <xf numFmtId="0" fontId="10" fillId="0" borderId="25" xfId="0" applyFont="1" applyFill="1" applyBorder="1" applyAlignment="1">
      <alignment wrapText="1"/>
    </xf>
    <xf numFmtId="174" fontId="2" fillId="0" borderId="14" xfId="0" applyNumberFormat="1" applyFont="1" applyFill="1" applyBorder="1" applyAlignment="1">
      <alignment/>
    </xf>
    <xf numFmtId="174" fontId="10" fillId="0" borderId="14" xfId="0" applyNumberFormat="1" applyFont="1" applyFill="1" applyBorder="1" applyAlignment="1">
      <alignment/>
    </xf>
    <xf numFmtId="174" fontId="10" fillId="0" borderId="14" xfId="0" applyNumberFormat="1" applyFont="1" applyFill="1" applyBorder="1" applyAlignment="1">
      <alignment vertical="center"/>
    </xf>
    <xf numFmtId="174" fontId="2" fillId="0" borderId="14" xfId="0" applyNumberFormat="1" applyFont="1" applyFill="1" applyBorder="1" applyAlignment="1">
      <alignment/>
    </xf>
    <xf numFmtId="174" fontId="2" fillId="0" borderId="34" xfId="0" applyNumberFormat="1" applyFont="1" applyBorder="1" applyAlignment="1">
      <alignment/>
    </xf>
    <xf numFmtId="174" fontId="10" fillId="0" borderId="34" xfId="0" applyNumberFormat="1" applyFont="1" applyBorder="1" applyAlignment="1">
      <alignment/>
    </xf>
    <xf numFmtId="174" fontId="23" fillId="3" borderId="0" xfId="0" applyNumberFormat="1" applyFont="1" applyFill="1" applyBorder="1" applyAlignment="1">
      <alignment horizontal="center"/>
    </xf>
    <xf numFmtId="174" fontId="2" fillId="0" borderId="20" xfId="0" applyNumberFormat="1" applyFont="1" applyBorder="1" applyAlignment="1">
      <alignment/>
    </xf>
    <xf numFmtId="174" fontId="2" fillId="0" borderId="10" xfId="0" applyNumberFormat="1" applyFont="1" applyBorder="1" applyAlignment="1">
      <alignment/>
    </xf>
    <xf numFmtId="174" fontId="2" fillId="0" borderId="24" xfId="0" applyNumberFormat="1" applyFont="1" applyBorder="1" applyAlignment="1">
      <alignment/>
    </xf>
    <xf numFmtId="174" fontId="10" fillId="0" borderId="34" xfId="0" applyNumberFormat="1" applyFont="1" applyFill="1" applyBorder="1" applyAlignment="1">
      <alignment horizontal="right" vertical="center"/>
    </xf>
    <xf numFmtId="1" fontId="10" fillId="2" borderId="33" xfId="0" applyNumberFormat="1" applyFont="1" applyFill="1" applyBorder="1" applyAlignment="1">
      <alignment vertical="center" wrapText="1"/>
    </xf>
    <xf numFmtId="1" fontId="10" fillId="2" borderId="31" xfId="0" applyNumberFormat="1" applyFont="1" applyFill="1" applyBorder="1" applyAlignment="1">
      <alignment horizontal="right" vertical="center"/>
    </xf>
    <xf numFmtId="1" fontId="10" fillId="2" borderId="31" xfId="0" applyNumberFormat="1" applyFont="1" applyFill="1" applyBorder="1" applyAlignment="1" applyProtection="1">
      <alignment horizontal="centerContinuous" vertical="center"/>
      <protection locked="0"/>
    </xf>
    <xf numFmtId="3" fontId="2" fillId="0" borderId="35" xfId="0" applyNumberFormat="1" applyFont="1" applyBorder="1" applyAlignment="1">
      <alignment/>
    </xf>
    <xf numFmtId="3" fontId="2" fillId="0" borderId="14" xfId="0" applyNumberFormat="1" applyFont="1" applyBorder="1" applyAlignment="1">
      <alignment/>
    </xf>
    <xf numFmtId="3" fontId="2" fillId="0" borderId="34" xfId="0" applyNumberFormat="1" applyFont="1" applyBorder="1" applyAlignment="1">
      <alignment/>
    </xf>
    <xf numFmtId="174" fontId="10" fillId="0" borderId="14" xfId="0" applyNumberFormat="1" applyFont="1" applyFill="1" applyBorder="1" applyAlignment="1">
      <alignment horizontal="right" vertical="center"/>
    </xf>
    <xf numFmtId="174" fontId="24" fillId="3" borderId="0" xfId="0" applyNumberFormat="1" applyFont="1" applyFill="1" applyBorder="1" applyAlignment="1">
      <alignment horizontal="center"/>
    </xf>
    <xf numFmtId="0" fontId="10" fillId="0" borderId="26" xfId="0" applyFont="1" applyFill="1" applyBorder="1" applyAlignment="1">
      <alignment wrapText="1"/>
    </xf>
    <xf numFmtId="174" fontId="2" fillId="0" borderId="14" xfId="0" applyNumberFormat="1" applyFont="1" applyFill="1" applyBorder="1" applyAlignment="1">
      <alignment horizontal="right" vertical="top"/>
    </xf>
    <xf numFmtId="49" fontId="2" fillId="0" borderId="25" xfId="0" applyNumberFormat="1" applyFont="1" applyBorder="1" applyAlignment="1">
      <alignment wrapText="1"/>
    </xf>
    <xf numFmtId="174" fontId="2" fillId="0" borderId="36" xfId="0" applyNumberFormat="1" applyFont="1" applyBorder="1" applyAlignment="1">
      <alignment/>
    </xf>
    <xf numFmtId="174" fontId="2" fillId="0" borderId="9" xfId="0" applyNumberFormat="1" applyFont="1" applyBorder="1" applyAlignment="1">
      <alignment/>
    </xf>
    <xf numFmtId="174" fontId="22" fillId="0" borderId="0" xfId="0" applyNumberFormat="1" applyFont="1" applyFill="1" applyAlignment="1">
      <alignment horizontal="right"/>
    </xf>
    <xf numFmtId="167" fontId="10" fillId="0" borderId="1" xfId="0" applyNumberFormat="1" applyFont="1" applyFill="1" applyBorder="1" applyAlignment="1">
      <alignment horizontal="right"/>
    </xf>
    <xf numFmtId="167" fontId="2" fillId="0" borderId="1" xfId="0" applyNumberFormat="1" applyFont="1" applyFill="1" applyBorder="1" applyAlignment="1">
      <alignment horizontal="right"/>
    </xf>
    <xf numFmtId="167" fontId="2" fillId="0" borderId="5" xfId="0" applyNumberFormat="1" applyFont="1" applyFill="1" applyBorder="1" applyAlignment="1">
      <alignment horizontal="right"/>
    </xf>
    <xf numFmtId="167" fontId="10" fillId="0" borderId="5" xfId="0" applyNumberFormat="1" applyFont="1" applyFill="1" applyBorder="1" applyAlignment="1">
      <alignment horizontal="right"/>
    </xf>
    <xf numFmtId="0" fontId="2" fillId="2" borderId="45" xfId="0" applyFont="1" applyFill="1" applyBorder="1" applyAlignment="1">
      <alignment horizontal="center"/>
    </xf>
    <xf numFmtId="167" fontId="2" fillId="0" borderId="9" xfId="0" applyNumberFormat="1" applyFont="1" applyFill="1" applyBorder="1" applyAlignment="1">
      <alignment horizontal="right"/>
    </xf>
    <xf numFmtId="167" fontId="2" fillId="0" borderId="48" xfId="0" applyNumberFormat="1" applyFont="1" applyFill="1" applyBorder="1" applyAlignment="1">
      <alignment horizontal="right"/>
    </xf>
    <xf numFmtId="174" fontId="10" fillId="0" borderId="0" xfId="0" applyNumberFormat="1" applyFont="1" applyFill="1" applyAlignment="1">
      <alignment/>
    </xf>
    <xf numFmtId="0" fontId="2" fillId="0" borderId="30" xfId="0" applyFont="1" applyFill="1" applyBorder="1" applyAlignment="1">
      <alignment wrapText="1"/>
    </xf>
    <xf numFmtId="174" fontId="2" fillId="0" borderId="36" xfId="0" applyNumberFormat="1" applyFont="1" applyFill="1" applyBorder="1" applyAlignment="1">
      <alignment horizontal="right"/>
    </xf>
    <xf numFmtId="174" fontId="2" fillId="0" borderId="45" xfId="0" applyNumberFormat="1" applyFont="1" applyBorder="1" applyAlignment="1">
      <alignment horizontal="right"/>
    </xf>
    <xf numFmtId="174" fontId="22" fillId="3" borderId="14" xfId="0" applyNumberFormat="1" applyFont="1" applyFill="1" applyBorder="1" applyAlignment="1">
      <alignment horizontal="center"/>
    </xf>
    <xf numFmtId="174" fontId="0" fillId="0" borderId="0" xfId="0" applyNumberFormat="1" applyAlignment="1">
      <alignment/>
    </xf>
    <xf numFmtId="174" fontId="2" fillId="0" borderId="1" xfId="0" applyNumberFormat="1" applyFont="1" applyFill="1" applyBorder="1" applyAlignment="1" applyProtection="1">
      <alignment/>
      <protection locked="0"/>
    </xf>
    <xf numFmtId="174" fontId="2" fillId="0" borderId="45" xfId="0" applyNumberFormat="1" applyFont="1" applyFill="1" applyBorder="1" applyAlignment="1" applyProtection="1">
      <alignment/>
      <protection locked="0"/>
    </xf>
    <xf numFmtId="174" fontId="2" fillId="0" borderId="4" xfId="0" applyNumberFormat="1" applyFont="1" applyFill="1" applyBorder="1" applyAlignment="1" applyProtection="1">
      <alignment/>
      <protection locked="0"/>
    </xf>
    <xf numFmtId="174" fontId="2" fillId="0" borderId="46" xfId="0" applyNumberFormat="1" applyFont="1" applyFill="1" applyBorder="1" applyAlignment="1" applyProtection="1">
      <alignment/>
      <protection locked="0"/>
    </xf>
    <xf numFmtId="174" fontId="10" fillId="0" borderId="45" xfId="0" applyNumberFormat="1" applyFont="1" applyFill="1" applyBorder="1" applyAlignment="1">
      <alignment horizontal="right"/>
    </xf>
    <xf numFmtId="174" fontId="2" fillId="0" borderId="4" xfId="0" applyNumberFormat="1" applyFont="1" applyFill="1" applyBorder="1" applyAlignment="1">
      <alignment/>
    </xf>
    <xf numFmtId="0" fontId="2" fillId="0" borderId="25" xfId="0" applyFont="1" applyFill="1" applyBorder="1" applyAlignment="1">
      <alignment/>
    </xf>
    <xf numFmtId="174" fontId="2" fillId="0" borderId="46" xfId="0" applyNumberFormat="1" applyFont="1" applyFill="1" applyBorder="1" applyAlignment="1">
      <alignment horizontal="right"/>
    </xf>
    <xf numFmtId="174" fontId="2" fillId="0" borderId="22" xfId="0" applyNumberFormat="1" applyFont="1" applyFill="1" applyBorder="1" applyAlignment="1">
      <alignment horizontal="right"/>
    </xf>
    <xf numFmtId="174" fontId="10" fillId="0" borderId="4" xfId="0" applyNumberFormat="1" applyFont="1" applyFill="1" applyBorder="1" applyAlignment="1">
      <alignment horizontal="right" vertical="center"/>
    </xf>
    <xf numFmtId="167" fontId="2" fillId="0" borderId="45" xfId="0"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4" xfId="0" applyNumberFormat="1" applyFont="1" applyFill="1" applyBorder="1" applyAlignment="1">
      <alignment horizontal="right"/>
    </xf>
    <xf numFmtId="0" fontId="20" fillId="0" borderId="0" xfId="0" applyFont="1" applyFill="1" applyBorder="1" applyAlignment="1">
      <alignment/>
    </xf>
    <xf numFmtId="3" fontId="2" fillId="0" borderId="1" xfId="0" applyNumberFormat="1" applyFont="1" applyFill="1" applyBorder="1" applyAlignment="1">
      <alignment/>
    </xf>
    <xf numFmtId="3" fontId="2" fillId="0" borderId="5" xfId="0" applyNumberFormat="1" applyFont="1" applyFill="1" applyBorder="1" applyAlignment="1">
      <alignment/>
    </xf>
    <xf numFmtId="3" fontId="10" fillId="0" borderId="1" xfId="0" applyNumberFormat="1" applyFont="1" applyFill="1" applyBorder="1" applyAlignment="1">
      <alignment/>
    </xf>
    <xf numFmtId="3" fontId="10" fillId="0" borderId="5" xfId="0" applyNumberFormat="1" applyFont="1" applyFill="1" applyBorder="1" applyAlignment="1">
      <alignment/>
    </xf>
    <xf numFmtId="3" fontId="10" fillId="0" borderId="4" xfId="0" applyNumberFormat="1" applyFont="1" applyFill="1" applyBorder="1" applyAlignment="1">
      <alignment/>
    </xf>
    <xf numFmtId="3" fontId="10" fillId="0" borderId="6" xfId="0" applyNumberFormat="1" applyFont="1" applyFill="1" applyBorder="1" applyAlignment="1">
      <alignment/>
    </xf>
    <xf numFmtId="0" fontId="20" fillId="0" borderId="0" xfId="0" applyFont="1" applyAlignment="1">
      <alignment horizontal="right"/>
    </xf>
    <xf numFmtId="3" fontId="2" fillId="0" borderId="1" xfId="0" applyNumberFormat="1" applyFont="1" applyFill="1" applyBorder="1" applyAlignment="1">
      <alignment horizontal="right"/>
    </xf>
    <xf numFmtId="164" fontId="7" fillId="0" borderId="0" xfId="0" applyNumberFormat="1" applyFont="1" applyFill="1" applyBorder="1" applyAlignment="1">
      <alignment horizontal="right"/>
    </xf>
    <xf numFmtId="0" fontId="30" fillId="0" borderId="0" xfId="0" applyFont="1" applyFill="1" applyAlignment="1">
      <alignment/>
    </xf>
    <xf numFmtId="0" fontId="4" fillId="0" borderId="0" xfId="0" applyFont="1" applyFill="1" applyAlignment="1">
      <alignment/>
    </xf>
    <xf numFmtId="3" fontId="0" fillId="0" borderId="36" xfId="0" applyNumberFormat="1" applyFill="1" applyBorder="1" applyAlignment="1">
      <alignment/>
    </xf>
    <xf numFmtId="3" fontId="0" fillId="0" borderId="1" xfId="0" applyNumberFormat="1" applyFill="1" applyBorder="1" applyAlignment="1">
      <alignment/>
    </xf>
    <xf numFmtId="3" fontId="0" fillId="0" borderId="4" xfId="0" applyNumberFormat="1" applyFill="1" applyBorder="1" applyAlignment="1">
      <alignment/>
    </xf>
    <xf numFmtId="0" fontId="10" fillId="0" borderId="0" xfId="0" applyFont="1" applyFill="1" applyBorder="1" applyAlignment="1">
      <alignment wrapText="1"/>
    </xf>
    <xf numFmtId="3" fontId="0" fillId="0" borderId="1" xfId="0" applyNumberFormat="1" applyFill="1" applyBorder="1" applyAlignment="1">
      <alignment horizontal="right"/>
    </xf>
    <xf numFmtId="3" fontId="0" fillId="0" borderId="9" xfId="0" applyNumberFormat="1" applyFill="1" applyBorder="1" applyAlignment="1">
      <alignment horizontal="right"/>
    </xf>
    <xf numFmtId="3" fontId="0" fillId="0" borderId="4" xfId="0" applyNumberFormat="1" applyFill="1" applyBorder="1" applyAlignment="1">
      <alignment horizontal="right"/>
    </xf>
    <xf numFmtId="3" fontId="0" fillId="0" borderId="5" xfId="0" applyNumberFormat="1" applyFill="1" applyBorder="1" applyAlignment="1">
      <alignment horizontal="right"/>
    </xf>
    <xf numFmtId="3" fontId="0" fillId="0" borderId="48" xfId="0" applyNumberFormat="1" applyFill="1" applyBorder="1" applyAlignment="1">
      <alignment horizontal="right"/>
    </xf>
    <xf numFmtId="3" fontId="0" fillId="0" borderId="6" xfId="0" applyNumberFormat="1" applyFill="1" applyBorder="1" applyAlignment="1">
      <alignment horizontal="right"/>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3" fontId="0" fillId="0" borderId="16" xfId="0" applyNumberFormat="1" applyFill="1" applyBorder="1" applyAlignment="1">
      <alignment/>
    </xf>
    <xf numFmtId="3" fontId="0" fillId="0" borderId="0" xfId="0" applyNumberFormat="1" applyFill="1" applyAlignment="1">
      <alignment/>
    </xf>
    <xf numFmtId="4" fontId="2" fillId="0" borderId="58" xfId="0" applyNumberFormat="1" applyFont="1" applyBorder="1" applyAlignment="1">
      <alignment horizontal="center" wrapText="1"/>
    </xf>
    <xf numFmtId="4" fontId="2"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58" xfId="0" applyNumberFormat="1" applyFont="1" applyBorder="1" applyAlignment="1">
      <alignment vertical="center" wrapText="1"/>
    </xf>
    <xf numFmtId="3" fontId="2" fillId="0" borderId="58" xfId="0" applyNumberFormat="1" applyFont="1" applyBorder="1" applyAlignment="1">
      <alignment horizontal="right" vertical="center"/>
    </xf>
    <xf numFmtId="10" fontId="2" fillId="0" borderId="58" xfId="0" applyNumberFormat="1" applyFont="1" applyBorder="1" applyAlignment="1">
      <alignment horizontal="center" vertical="center" wrapText="1"/>
    </xf>
    <xf numFmtId="4" fontId="2" fillId="0" borderId="65" xfId="0" applyNumberFormat="1" applyFont="1" applyBorder="1" applyAlignment="1">
      <alignment horizontal="center" vertical="center" wrapText="1"/>
    </xf>
    <xf numFmtId="174" fontId="22" fillId="0" borderId="0" xfId="0" applyNumberFormat="1" applyFont="1" applyFill="1" applyAlignment="1">
      <alignment horizontal="center"/>
    </xf>
    <xf numFmtId="174" fontId="22" fillId="0" borderId="60" xfId="0" applyNumberFormat="1" applyFont="1" applyFill="1" applyBorder="1" applyAlignment="1">
      <alignment horizontal="right"/>
    </xf>
    <xf numFmtId="174" fontId="23" fillId="0" borderId="0" xfId="0" applyNumberFormat="1" applyFont="1" applyFill="1" applyAlignment="1">
      <alignment horizontal="center"/>
    </xf>
    <xf numFmtId="174" fontId="2" fillId="0" borderId="0" xfId="0" applyNumberFormat="1" applyFont="1" applyFill="1" applyBorder="1" applyAlignment="1">
      <alignment horizontal="right"/>
    </xf>
    <xf numFmtId="174" fontId="22" fillId="0" borderId="0" xfId="0" applyNumberFormat="1" applyFont="1" applyFill="1" applyAlignment="1">
      <alignment horizontal="left"/>
    </xf>
    <xf numFmtId="174" fontId="22" fillId="0" borderId="0" xfId="0" applyNumberFormat="1" applyFont="1" applyFill="1" applyBorder="1" applyAlignment="1">
      <alignment horizontal="right"/>
    </xf>
    <xf numFmtId="174" fontId="2" fillId="0" borderId="0" xfId="0" applyNumberFormat="1" applyFont="1" applyFill="1" applyAlignment="1">
      <alignment horizontal="right"/>
    </xf>
    <xf numFmtId="174" fontId="24" fillId="0" borderId="0" xfId="0" applyNumberFormat="1" applyFont="1" applyFill="1" applyAlignment="1">
      <alignment horizontal="center"/>
    </xf>
    <xf numFmtId="0" fontId="31" fillId="0" borderId="0" xfId="0" applyFont="1" applyAlignment="1">
      <alignment vertical="top" wrapText="1"/>
    </xf>
    <xf numFmtId="0" fontId="32" fillId="0" borderId="0" xfId="0" applyFont="1" applyAlignment="1">
      <alignment vertical="top" wrapText="1"/>
    </xf>
    <xf numFmtId="0" fontId="31" fillId="0" borderId="0" xfId="0" applyFont="1" applyAlignment="1">
      <alignment/>
    </xf>
    <xf numFmtId="2" fontId="32" fillId="0" borderId="0" xfId="0" applyNumberFormat="1" applyFont="1" applyAlignment="1">
      <alignment vertical="top"/>
    </xf>
    <xf numFmtId="1" fontId="2" fillId="0" borderId="3" xfId="0" applyNumberFormat="1" applyFont="1" applyFill="1" applyBorder="1" applyAlignment="1">
      <alignment horizontal="right"/>
    </xf>
    <xf numFmtId="1" fontId="2" fillId="0" borderId="32" xfId="0" applyNumberFormat="1" applyFont="1" applyFill="1" applyBorder="1" applyAlignment="1">
      <alignment horizontal="right"/>
    </xf>
    <xf numFmtId="1" fontId="2" fillId="0" borderId="1" xfId="0" applyNumberFormat="1" applyFont="1" applyFill="1" applyBorder="1" applyAlignment="1">
      <alignment horizontal="right"/>
    </xf>
    <xf numFmtId="1" fontId="2" fillId="0" borderId="5" xfId="0" applyNumberFormat="1" applyFont="1" applyFill="1" applyBorder="1" applyAlignment="1">
      <alignment horizontal="right"/>
    </xf>
    <xf numFmtId="1" fontId="10" fillId="0" borderId="1" xfId="0" applyNumberFormat="1" applyFont="1" applyFill="1" applyBorder="1" applyAlignment="1">
      <alignment horizontal="right"/>
    </xf>
    <xf numFmtId="1" fontId="10" fillId="0" borderId="5" xfId="0" applyNumberFormat="1" applyFont="1" applyFill="1" applyBorder="1" applyAlignment="1">
      <alignment horizontal="right"/>
    </xf>
    <xf numFmtId="1" fontId="2" fillId="0" borderId="4" xfId="0" applyNumberFormat="1" applyFont="1" applyFill="1" applyBorder="1" applyAlignment="1">
      <alignment horizontal="right"/>
    </xf>
    <xf numFmtId="1" fontId="2" fillId="0" borderId="6" xfId="0" applyNumberFormat="1" applyFont="1" applyFill="1" applyBorder="1" applyAlignment="1">
      <alignment horizontal="right"/>
    </xf>
    <xf numFmtId="0" fontId="10" fillId="0" borderId="43" xfId="0" applyFont="1" applyBorder="1" applyAlignment="1">
      <alignment wrapText="1"/>
    </xf>
    <xf numFmtId="174" fontId="2" fillId="0" borderId="10" xfId="0" applyNumberFormat="1" applyFont="1" applyBorder="1" applyAlignment="1">
      <alignment horizontal="center"/>
    </xf>
    <xf numFmtId="174" fontId="10" fillId="0" borderId="10" xfId="0" applyNumberFormat="1" applyFont="1" applyFill="1" applyBorder="1" applyAlignment="1">
      <alignment horizontal="right"/>
    </xf>
    <xf numFmtId="174" fontId="10" fillId="0" borderId="24" xfId="0" applyNumberFormat="1" applyFont="1" applyFill="1" applyBorder="1" applyAlignment="1">
      <alignment horizontal="right"/>
    </xf>
    <xf numFmtId="1" fontId="10" fillId="2" borderId="66" xfId="0" applyNumberFormat="1" applyFont="1" applyFill="1" applyBorder="1" applyAlignment="1">
      <alignment horizontal="center" vertical="center" wrapText="1"/>
    </xf>
    <xf numFmtId="1" fontId="10" fillId="2" borderId="67" xfId="0" applyNumberFormat="1" applyFont="1" applyFill="1" applyBorder="1" applyAlignment="1">
      <alignment horizontal="center" vertical="center"/>
    </xf>
    <xf numFmtId="1" fontId="10" fillId="2" borderId="68" xfId="0" applyNumberFormat="1" applyFont="1" applyFill="1" applyBorder="1" applyAlignment="1">
      <alignment horizontal="center" vertical="center"/>
    </xf>
    <xf numFmtId="0" fontId="10" fillId="2" borderId="9" xfId="0" applyFont="1" applyFill="1" applyBorder="1" applyAlignment="1">
      <alignment horizontal="center"/>
    </xf>
    <xf numFmtId="0" fontId="10" fillId="2" borderId="18" xfId="0" applyFont="1" applyFill="1" applyBorder="1" applyAlignment="1">
      <alignment horizontal="center"/>
    </xf>
    <xf numFmtId="0" fontId="2" fillId="2" borderId="36" xfId="0" applyFont="1" applyFill="1" applyBorder="1" applyAlignment="1">
      <alignment horizontal="center"/>
    </xf>
    <xf numFmtId="0" fontId="10" fillId="0" borderId="0" xfId="0" applyFont="1" applyFill="1" applyBorder="1" applyAlignment="1">
      <alignment horizontal="center"/>
    </xf>
    <xf numFmtId="0" fontId="2" fillId="0" borderId="0" xfId="0" applyFont="1" applyFill="1" applyBorder="1" applyAlignment="1">
      <alignment horizontal="center"/>
    </xf>
    <xf numFmtId="0" fontId="10" fillId="0" borderId="0" xfId="0" applyFont="1" applyFill="1" applyBorder="1" applyAlignment="1">
      <alignment horizontal="center" wrapText="1"/>
    </xf>
    <xf numFmtId="0" fontId="0" fillId="0" borderId="0" xfId="0" applyFill="1" applyBorder="1" applyAlignment="1">
      <alignment horizontal="center"/>
    </xf>
    <xf numFmtId="0" fontId="0" fillId="2" borderId="57" xfId="0"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2" fillId="0" borderId="11" xfId="0" applyFont="1" applyBorder="1" applyAlignment="1">
      <alignment/>
    </xf>
    <xf numFmtId="167" fontId="0" fillId="0" borderId="10" xfId="0" applyNumberFormat="1" applyBorder="1" applyAlignment="1">
      <alignment horizontal="right"/>
    </xf>
    <xf numFmtId="167" fontId="0" fillId="0" borderId="10" xfId="0" applyNumberFormat="1" applyFill="1" applyBorder="1" applyAlignment="1">
      <alignment horizontal="right"/>
    </xf>
    <xf numFmtId="167" fontId="0" fillId="0" borderId="24" xfId="0" applyNumberFormat="1" applyBorder="1" applyAlignment="1">
      <alignment horizontal="right"/>
    </xf>
    <xf numFmtId="0" fontId="0" fillId="2" borderId="70" xfId="0" applyFill="1" applyBorder="1" applyAlignment="1">
      <alignment horizontal="center"/>
    </xf>
    <xf numFmtId="0" fontId="10" fillId="2" borderId="58"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65" xfId="0" applyFont="1" applyFill="1" applyBorder="1" applyAlignment="1">
      <alignment horizontal="center" vertical="top" wrapText="1"/>
    </xf>
    <xf numFmtId="3" fontId="2" fillId="0" borderId="10" xfId="0" applyNumberFormat="1" applyFont="1" applyBorder="1" applyAlignment="1">
      <alignment horizontal="right"/>
    </xf>
    <xf numFmtId="4" fontId="2" fillId="0" borderId="10" xfId="0" applyNumberFormat="1" applyFont="1" applyBorder="1" applyAlignment="1">
      <alignment horizontal="right"/>
    </xf>
    <xf numFmtId="4" fontId="2" fillId="0" borderId="24" xfId="0" applyNumberFormat="1" applyFont="1" applyBorder="1" applyAlignment="1">
      <alignment horizontal="right"/>
    </xf>
    <xf numFmtId="0" fontId="0" fillId="0" borderId="4" xfId="0" applyFont="1" applyFill="1" applyBorder="1" applyAlignment="1" applyProtection="1">
      <alignment/>
      <protection locked="0"/>
    </xf>
    <xf numFmtId="0" fontId="0" fillId="0" borderId="6" xfId="0" applyFont="1" applyFill="1" applyBorder="1" applyAlignment="1" applyProtection="1">
      <alignment horizontal="center"/>
      <protection locked="0"/>
    </xf>
    <xf numFmtId="0" fontId="32" fillId="0" borderId="0" xfId="0" applyFont="1" applyAlignment="1">
      <alignment vertical="top" wrapText="1"/>
    </xf>
    <xf numFmtId="0" fontId="31" fillId="0" borderId="0" xfId="0" applyFont="1" applyAlignment="1">
      <alignment horizontal="left" vertical="top" wrapText="1"/>
    </xf>
    <xf numFmtId="0" fontId="3" fillId="2" borderId="41" xfId="0" applyFont="1" applyFill="1"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7" fillId="3" borderId="60" xfId="0" applyFont="1" applyFill="1" applyBorder="1" applyAlignment="1">
      <alignment horizontal="left" wrapText="1"/>
    </xf>
    <xf numFmtId="1" fontId="10" fillId="2" borderId="33" xfId="0" applyNumberFormat="1" applyFont="1" applyFill="1" applyBorder="1" applyAlignment="1">
      <alignment horizontal="center" vertical="center" wrapText="1"/>
    </xf>
    <xf numFmtId="1" fontId="10" fillId="2" borderId="31" xfId="0" applyNumberFormat="1" applyFont="1" applyFill="1" applyBorder="1" applyAlignment="1">
      <alignment horizontal="center" vertical="center" wrapText="1"/>
    </xf>
    <xf numFmtId="0" fontId="2" fillId="3" borderId="25" xfId="0" applyFont="1" applyFill="1" applyBorder="1" applyAlignment="1">
      <alignment horizontal="left" wrapText="1"/>
    </xf>
    <xf numFmtId="0" fontId="2" fillId="3" borderId="14" xfId="0" applyFont="1" applyFill="1" applyBorder="1" applyAlignment="1">
      <alignment horizontal="left" wrapText="1"/>
    </xf>
    <xf numFmtId="0" fontId="10" fillId="2" borderId="17" xfId="0" applyFont="1" applyFill="1" applyBorder="1" applyAlignment="1">
      <alignment horizontal="center" vertical="top" wrapText="1"/>
    </xf>
    <xf numFmtId="0" fontId="10" fillId="2" borderId="14" xfId="0" applyFont="1" applyFill="1" applyBorder="1" applyAlignment="1">
      <alignment horizontal="center" vertical="top" wrapText="1"/>
    </xf>
  </cellXfs>
  <cellStyles count="10">
    <cellStyle name="Normal" xfId="0"/>
    <cellStyle name="Comma" xfId="15"/>
    <cellStyle name="Comma [0]" xfId="16"/>
    <cellStyle name="Hyperlink" xfId="17"/>
    <cellStyle name="Normal_SHEET" xfId="18"/>
    <cellStyle name="Normalny_Historia"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KLIENCI\MCI\Jednostkowe\MCI%20SA-R%2031.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URO"/>
      <sheetName val="BILANS"/>
      <sheetName val="SA-P"/>
      <sheetName val="no_1B"/>
      <sheetName val="no_2B"/>
      <sheetName val="no_4L"/>
      <sheetName val="no_4M"/>
      <sheetName val="no_4N"/>
      <sheetName val="no_12"/>
      <sheetName val="no_13A-B"/>
      <sheetName val="no_19D"/>
      <sheetName val="no_19E"/>
      <sheetName val="no_20C-D"/>
      <sheetName val="noty_RPP"/>
      <sheetName val="noty_dodatk."/>
    </sheetNames>
    <sheetDataSet>
      <sheetData sheetId="5">
        <row r="5">
          <cell r="B5" t="str">
            <v>Bankier.pl S.A. </v>
          </cell>
        </row>
        <row r="7">
          <cell r="B7" t="str">
            <v>Process4e S.A.</v>
          </cell>
        </row>
        <row r="8">
          <cell r="B8" t="str">
            <v>Travelplanet S.A. </v>
          </cell>
        </row>
        <row r="9">
          <cell r="B9" t="str">
            <v>JTT Computer S.A. </v>
          </cell>
        </row>
        <row r="10">
          <cell r="B10" t="str">
            <v>Biprogeo S.A. </v>
          </cell>
        </row>
        <row r="11">
          <cell r="B11" t="str">
            <v>Synergy S.A. </v>
          </cell>
        </row>
        <row r="12">
          <cell r="B12" t="str">
            <v>S4e S.A. </v>
          </cell>
        </row>
        <row r="13">
          <cell r="B13" t="str">
            <v>One2One sp. z o.o.</v>
          </cell>
        </row>
        <row r="15">
          <cell r="B15" t="str">
            <v>GeoTec Sp. z o.o.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0"/>
  <sheetViews>
    <sheetView tabSelected="1" zoomScaleSheetLayoutView="65" workbookViewId="0" topLeftCell="A5">
      <selection activeCell="A5" sqref="A5"/>
    </sheetView>
  </sheetViews>
  <sheetFormatPr defaultColWidth="9.00390625" defaultRowHeight="12.75"/>
  <cols>
    <col min="1" max="1" width="62.25390625" style="324" customWidth="1"/>
    <col min="2" max="2" width="13.625" style="0" bestFit="1" customWidth="1"/>
    <col min="3" max="3" width="13.625" style="0" customWidth="1"/>
    <col min="4" max="5" width="13.625" style="0" bestFit="1" customWidth="1"/>
    <col min="6" max="6" width="11.125" style="0" bestFit="1" customWidth="1"/>
    <col min="8" max="8" width="10.875" style="0" customWidth="1"/>
    <col min="9" max="9" width="10.75390625" style="0" customWidth="1"/>
    <col min="10" max="10" width="10.875" style="0" customWidth="1"/>
    <col min="11" max="11" width="12.00390625" style="0" customWidth="1"/>
    <col min="12" max="12" width="10.875" style="0" customWidth="1"/>
  </cols>
  <sheetData>
    <row r="1" spans="1:5" ht="18.75" hidden="1" thickBot="1">
      <c r="A1" s="315"/>
      <c r="B1" s="99"/>
      <c r="C1" s="99"/>
      <c r="D1" s="99"/>
      <c r="E1" s="99"/>
    </row>
    <row r="2" spans="1:6" ht="23.25" hidden="1" thickTop="1">
      <c r="A2" s="315"/>
      <c r="B2" s="300"/>
      <c r="C2" s="301" t="s">
        <v>1118</v>
      </c>
      <c r="D2" s="301" t="s">
        <v>1119</v>
      </c>
      <c r="E2" s="301" t="s">
        <v>1120</v>
      </c>
      <c r="F2" s="302" t="s">
        <v>606</v>
      </c>
    </row>
    <row r="3" spans="1:6" ht="18" hidden="1">
      <c r="A3" s="315"/>
      <c r="B3" s="303">
        <v>2001</v>
      </c>
      <c r="C3" s="304">
        <v>3.657</v>
      </c>
      <c r="D3" s="305">
        <v>3.2564</v>
      </c>
      <c r="E3" s="306">
        <v>3.9569</v>
      </c>
      <c r="F3" s="307">
        <v>3.5219</v>
      </c>
    </row>
    <row r="4" spans="1:6" ht="18.75" hidden="1" thickBot="1">
      <c r="A4" s="315"/>
      <c r="B4" s="308">
        <v>2002</v>
      </c>
      <c r="C4" s="309">
        <v>3.8879</v>
      </c>
      <c r="D4" s="310">
        <v>3.5015</v>
      </c>
      <c r="E4" s="310">
        <v>4.2116</v>
      </c>
      <c r="F4" s="311">
        <v>4.0202</v>
      </c>
    </row>
    <row r="5" spans="1:5" ht="18">
      <c r="A5" s="315"/>
      <c r="B5" s="99"/>
      <c r="C5" s="99"/>
      <c r="D5" s="99"/>
      <c r="E5" s="99"/>
    </row>
    <row r="6" spans="1:5" ht="13.5" thickBot="1">
      <c r="A6" s="316"/>
      <c r="B6" s="99"/>
      <c r="C6" s="99"/>
      <c r="D6" s="99"/>
      <c r="E6" s="99"/>
    </row>
    <row r="7" spans="1:5" ht="12.75">
      <c r="A7" s="317" t="s">
        <v>1005</v>
      </c>
      <c r="B7" s="734" t="s">
        <v>233</v>
      </c>
      <c r="C7" s="735"/>
      <c r="D7" s="734" t="s">
        <v>1121</v>
      </c>
      <c r="E7" s="736"/>
    </row>
    <row r="8" spans="1:5" ht="27" customHeight="1">
      <c r="A8" s="318"/>
      <c r="B8" s="312">
        <v>2002</v>
      </c>
      <c r="C8" s="313">
        <v>2001</v>
      </c>
      <c r="D8" s="312">
        <v>2002</v>
      </c>
      <c r="E8" s="314">
        <v>2001</v>
      </c>
    </row>
    <row r="9" spans="1:6" ht="28.5">
      <c r="A9" s="319" t="s">
        <v>915</v>
      </c>
      <c r="B9" s="263">
        <f>'SA-P'!C4</f>
        <v>37248</v>
      </c>
      <c r="C9" s="263">
        <f>'SA-P'!D4</f>
        <v>59168</v>
      </c>
      <c r="D9" s="264">
        <f>B9/$C$4</f>
        <v>9580.493325445614</v>
      </c>
      <c r="E9" s="265">
        <f>C9/$C$3</f>
        <v>16179.382007109652</v>
      </c>
      <c r="F9" s="266"/>
    </row>
    <row r="10" spans="1:6" ht="14.25">
      <c r="A10" s="319" t="s">
        <v>758</v>
      </c>
      <c r="B10" s="263">
        <f>'SA-P'!C24</f>
        <v>-5321</v>
      </c>
      <c r="C10" s="263">
        <f>'SA-P'!D24</f>
        <v>-8787</v>
      </c>
      <c r="D10" s="264">
        <f>B10/$C$4</f>
        <v>-1368.6051595977262</v>
      </c>
      <c r="E10" s="265">
        <f>C10/$C$3</f>
        <v>-2402.7891714520097</v>
      </c>
      <c r="F10" s="266"/>
    </row>
    <row r="11" spans="1:6" ht="14.25">
      <c r="A11" s="319" t="s">
        <v>916</v>
      </c>
      <c r="B11" s="263">
        <f>'SA-P'!C46</f>
        <v>-19428</v>
      </c>
      <c r="C11" s="263">
        <f>'SA-P'!D46</f>
        <v>-12104</v>
      </c>
      <c r="D11" s="264">
        <f>B11/$C$4</f>
        <v>-4997.0421049924125</v>
      </c>
      <c r="E11" s="265">
        <f>C11/$C$3</f>
        <v>-3309.8167897183484</v>
      </c>
      <c r="F11" s="266"/>
    </row>
    <row r="12" spans="1:6" ht="14.25">
      <c r="A12" s="319" t="s">
        <v>917</v>
      </c>
      <c r="B12" s="263">
        <f>'SA-P'!C53</f>
        <v>-16328</v>
      </c>
      <c r="C12" s="263">
        <f>'SA-P'!D53</f>
        <v>-8294</v>
      </c>
      <c r="D12" s="264">
        <f>B12/$C$4</f>
        <v>-4199.696494251395</v>
      </c>
      <c r="E12" s="265">
        <f>C12/$C$3</f>
        <v>-2267.9792179382007</v>
      </c>
      <c r="F12" s="266"/>
    </row>
    <row r="13" spans="1:6" ht="14.25">
      <c r="A13" s="319" t="s">
        <v>759</v>
      </c>
      <c r="B13" s="263">
        <f>'SA-P'!C151</f>
        <v>-8256</v>
      </c>
      <c r="C13" s="263">
        <f>'SA-P'!D151</f>
        <v>2286</v>
      </c>
      <c r="D13" s="264">
        <f>B13/$F$4</f>
        <v>-2053.6291726779764</v>
      </c>
      <c r="E13" s="265">
        <f>C13/$F$3</f>
        <v>649.0814617110083</v>
      </c>
      <c r="F13" s="266"/>
    </row>
    <row r="14" spans="1:6" ht="14.25">
      <c r="A14" s="319" t="s">
        <v>760</v>
      </c>
      <c r="B14" s="263">
        <f>'SA-P'!C181</f>
        <v>5139</v>
      </c>
      <c r="C14" s="263">
        <f>'SA-P'!D181</f>
        <v>-17984</v>
      </c>
      <c r="D14" s="264">
        <f aca="true" t="shared" si="0" ref="D14:D22">B14/$F$4</f>
        <v>1278.2946122083479</v>
      </c>
      <c r="E14" s="265">
        <f aca="true" t="shared" si="1" ref="E14:E22">C14/$F$3</f>
        <v>-5106.334648911099</v>
      </c>
      <c r="F14" s="266"/>
    </row>
    <row r="15" spans="1:6" ht="14.25">
      <c r="A15" s="319" t="s">
        <v>761</v>
      </c>
      <c r="B15" s="263">
        <f>'SA-P'!C198</f>
        <v>-4018</v>
      </c>
      <c r="C15" s="263">
        <f>'SA-P'!D198</f>
        <v>23659</v>
      </c>
      <c r="D15" s="264">
        <f t="shared" si="0"/>
        <v>-999.4527635441023</v>
      </c>
      <c r="E15" s="265">
        <f t="shared" si="1"/>
        <v>6717.680797296914</v>
      </c>
      <c r="F15" s="266"/>
    </row>
    <row r="16" spans="1:6" ht="14.25">
      <c r="A16" s="319" t="s">
        <v>762</v>
      </c>
      <c r="B16" s="263">
        <f>'SA-P'!C199</f>
        <v>-7135</v>
      </c>
      <c r="C16" s="263">
        <f>'SA-P'!D199</f>
        <v>7961</v>
      </c>
      <c r="D16" s="264">
        <f t="shared" si="0"/>
        <v>-1774.7873240137308</v>
      </c>
      <c r="E16" s="265">
        <f t="shared" si="1"/>
        <v>2260.4276100968227</v>
      </c>
      <c r="F16" s="266"/>
    </row>
    <row r="17" spans="1:6" ht="14.25">
      <c r="A17" s="319" t="s">
        <v>763</v>
      </c>
      <c r="B17" s="263">
        <f>BILANS!C35</f>
        <v>38701</v>
      </c>
      <c r="C17" s="263">
        <f>BILANS!D35</f>
        <v>74028</v>
      </c>
      <c r="D17" s="264">
        <f t="shared" si="0"/>
        <v>9626.635490771603</v>
      </c>
      <c r="E17" s="265">
        <f t="shared" si="1"/>
        <v>21019.33615378063</v>
      </c>
      <c r="F17" s="266"/>
    </row>
    <row r="18" spans="1:6" ht="14.25">
      <c r="A18" s="319" t="s">
        <v>764</v>
      </c>
      <c r="B18" s="263">
        <f>BILANS!C49</f>
        <v>16460</v>
      </c>
      <c r="C18" s="263">
        <f>BILANS!D49</f>
        <v>35454</v>
      </c>
      <c r="D18" s="264">
        <f t="shared" si="0"/>
        <v>4094.323665489279</v>
      </c>
      <c r="E18" s="265">
        <f t="shared" si="1"/>
        <v>10066.725347113774</v>
      </c>
      <c r="F18" s="266"/>
    </row>
    <row r="19" spans="1:6" ht="14.25">
      <c r="A19" s="319" t="s">
        <v>765</v>
      </c>
      <c r="B19" s="263">
        <f>BILANS!C58</f>
        <v>34</v>
      </c>
      <c r="C19" s="263">
        <f>BILANS!D58</f>
        <v>303</v>
      </c>
      <c r="D19" s="264">
        <f t="shared" si="0"/>
        <v>8.45729068205562</v>
      </c>
      <c r="E19" s="265">
        <f t="shared" si="1"/>
        <v>86.03310712967432</v>
      </c>
      <c r="F19" s="266"/>
    </row>
    <row r="20" spans="1:6" ht="14.25">
      <c r="A20" s="319" t="s">
        <v>766</v>
      </c>
      <c r="B20" s="263">
        <f>BILANS!C61</f>
        <v>14760</v>
      </c>
      <c r="C20" s="263">
        <f>BILANS!D61</f>
        <v>31792</v>
      </c>
      <c r="D20" s="264">
        <f t="shared" si="0"/>
        <v>3671.459131386498</v>
      </c>
      <c r="E20" s="265">
        <f t="shared" si="1"/>
        <v>9026.945682728074</v>
      </c>
      <c r="F20" s="266"/>
    </row>
    <row r="21" spans="1:6" ht="14.25">
      <c r="A21" s="319" t="s">
        <v>767</v>
      </c>
      <c r="B21" s="263">
        <f>BILANS!C37</f>
        <v>22939</v>
      </c>
      <c r="C21" s="263">
        <f>BILANS!D37</f>
        <v>40491</v>
      </c>
      <c r="D21" s="264">
        <f t="shared" si="0"/>
        <v>5705.935028108054</v>
      </c>
      <c r="E21" s="265">
        <f t="shared" si="1"/>
        <v>11496.919276526874</v>
      </c>
      <c r="F21" s="266"/>
    </row>
    <row r="22" spans="1:6" ht="14.25">
      <c r="A22" s="319" t="s">
        <v>86</v>
      </c>
      <c r="B22" s="263">
        <f>BILANS!C38</f>
        <v>37800</v>
      </c>
      <c r="C22" s="263">
        <f>BILANS!D38</f>
        <v>37800</v>
      </c>
      <c r="D22" s="264">
        <f t="shared" si="0"/>
        <v>9402.51728769713</v>
      </c>
      <c r="E22" s="265">
        <f t="shared" si="1"/>
        <v>10732.843067662341</v>
      </c>
      <c r="F22" s="266"/>
    </row>
    <row r="23" spans="1:6" ht="14.25">
      <c r="A23" s="319" t="s">
        <v>87</v>
      </c>
      <c r="B23" s="263">
        <f>BILANS!C73</f>
        <v>37800000</v>
      </c>
      <c r="C23" s="263">
        <f>BILANS!D73</f>
        <v>37800000</v>
      </c>
      <c r="D23" s="267">
        <f>B23</f>
        <v>37800000</v>
      </c>
      <c r="E23" s="265">
        <f>C23</f>
        <v>37800000</v>
      </c>
      <c r="F23" s="266"/>
    </row>
    <row r="24" spans="1:6" ht="14.25">
      <c r="A24" s="319" t="s">
        <v>88</v>
      </c>
      <c r="B24" s="330">
        <f>B12/B23*1000</f>
        <v>-0.431957671957672</v>
      </c>
      <c r="C24" s="330">
        <f>C12/C23*1000</f>
        <v>-0.21941798941798943</v>
      </c>
      <c r="D24" s="330">
        <f>D12/D23*1000</f>
        <v>-0.11110308185850251</v>
      </c>
      <c r="E24" s="331">
        <f>E12/E23*1000</f>
        <v>-0.05999945021000531</v>
      </c>
      <c r="F24" s="266"/>
    </row>
    <row r="25" spans="1:6" ht="28.5">
      <c r="A25" s="319" t="s">
        <v>89</v>
      </c>
      <c r="B25" s="330">
        <f>'SA-P'!C59</f>
        <v>-0.431957671957672</v>
      </c>
      <c r="C25" s="330">
        <f>'SA-P'!D59</f>
        <v>-0.21941798941798943</v>
      </c>
      <c r="D25" s="330">
        <f>D12/D23*1000</f>
        <v>-0.11110308185850251</v>
      </c>
      <c r="E25" s="330">
        <f>E12/E23*1000</f>
        <v>-0.05999945021000531</v>
      </c>
      <c r="F25" s="266"/>
    </row>
    <row r="26" spans="1:6" ht="14.25">
      <c r="A26" s="319" t="s">
        <v>90</v>
      </c>
      <c r="B26" s="330">
        <f>B21/B23*1000</f>
        <v>0.6068518518518518</v>
      </c>
      <c r="C26" s="330">
        <f>C21/C23*1000</f>
        <v>1.0711904761904762</v>
      </c>
      <c r="D26" s="330">
        <f>D21/D23*1000</f>
        <v>0.1509506621192607</v>
      </c>
      <c r="E26" s="331">
        <f>E21/E23*1000</f>
        <v>0.3041513036118221</v>
      </c>
      <c r="F26" s="266"/>
    </row>
    <row r="27" spans="1:6" ht="28.5">
      <c r="A27" s="319" t="s">
        <v>91</v>
      </c>
      <c r="B27" s="330">
        <f>B21/B23*1000</f>
        <v>0.6068518518518518</v>
      </c>
      <c r="C27" s="330">
        <f>C21/C23*1000</f>
        <v>1.0711904761904762</v>
      </c>
      <c r="D27" s="330">
        <f>D21/D23*1000</f>
        <v>0.1509506621192607</v>
      </c>
      <c r="E27" s="331">
        <f>E21/E23*1000</f>
        <v>0.3041513036118221</v>
      </c>
      <c r="F27" s="266"/>
    </row>
    <row r="28" spans="1:6" ht="29.25" thickBot="1">
      <c r="A28" s="320" t="s">
        <v>92</v>
      </c>
      <c r="B28" s="268"/>
      <c r="C28" s="269"/>
      <c r="D28" s="270"/>
      <c r="E28" s="271"/>
      <c r="F28" s="266"/>
    </row>
    <row r="29" spans="1:5" ht="12.75">
      <c r="A29" s="321"/>
      <c r="B29" s="231"/>
      <c r="C29" s="231"/>
      <c r="D29" s="99"/>
      <c r="E29" s="99"/>
    </row>
    <row r="30" spans="1:5" ht="12.75">
      <c r="A30" s="322"/>
      <c r="B30" s="231"/>
      <c r="C30" s="231"/>
      <c r="D30" s="99"/>
      <c r="E30" s="99"/>
    </row>
    <row r="31" spans="1:5" ht="12.75">
      <c r="A31" s="321"/>
      <c r="B31" s="231"/>
      <c r="C31" s="231"/>
      <c r="D31" s="99"/>
      <c r="E31" s="99"/>
    </row>
    <row r="32" spans="1:3" ht="12.75">
      <c r="A32" s="323"/>
      <c r="B32" s="3"/>
      <c r="C32" s="3"/>
    </row>
    <row r="33" spans="1:3" ht="12.75">
      <c r="A33" s="323"/>
      <c r="B33" s="3"/>
      <c r="C33" s="3"/>
    </row>
    <row r="34" spans="1:3" ht="12.75">
      <c r="A34" s="323"/>
      <c r="B34" s="3"/>
      <c r="C34" s="3"/>
    </row>
    <row r="35" spans="1:4" ht="15.75">
      <c r="A35" s="688" t="s">
        <v>1022</v>
      </c>
      <c r="B35" s="689"/>
      <c r="C35" s="732"/>
      <c r="D35" s="732"/>
    </row>
    <row r="36" spans="1:4" ht="15.75">
      <c r="A36" s="689"/>
      <c r="B36" s="689"/>
      <c r="C36" s="732"/>
      <c r="D36" s="732"/>
    </row>
    <row r="37" spans="1:4" ht="15.75">
      <c r="A37" s="689"/>
      <c r="B37" s="691"/>
      <c r="D37" s="691"/>
    </row>
    <row r="38" spans="1:4" ht="15.75" customHeight="1">
      <c r="A38" s="688" t="s">
        <v>1023</v>
      </c>
      <c r="C38" s="733" t="s">
        <v>1025</v>
      </c>
      <c r="D38" s="733"/>
    </row>
    <row r="39" spans="1:4" ht="15.75">
      <c r="A39" s="688" t="s">
        <v>1024</v>
      </c>
      <c r="B39" s="689"/>
      <c r="C39" s="688" t="s">
        <v>1026</v>
      </c>
      <c r="D39" s="689"/>
    </row>
    <row r="40" spans="2:4" ht="15.75">
      <c r="B40" s="688"/>
      <c r="D40" s="689"/>
    </row>
    <row r="41" ht="12.75">
      <c r="A41" s="690"/>
    </row>
    <row r="42" ht="12.75">
      <c r="A42" s="690"/>
    </row>
    <row r="43" ht="12.75">
      <c r="A43" s="690"/>
    </row>
    <row r="44" ht="12.75">
      <c r="A44" s="690"/>
    </row>
    <row r="45" spans="1:4" ht="15.75">
      <c r="A45" s="688" t="s">
        <v>1027</v>
      </c>
      <c r="B45" s="689"/>
      <c r="C45" s="732"/>
      <c r="D45" s="732"/>
    </row>
    <row r="46" spans="1:4" ht="15.75">
      <c r="A46" s="689"/>
      <c r="B46" s="689"/>
      <c r="C46" s="732"/>
      <c r="D46" s="732"/>
    </row>
    <row r="47" spans="2:4" ht="15.75">
      <c r="B47" s="689"/>
      <c r="C47" s="732"/>
      <c r="D47" s="732"/>
    </row>
    <row r="48" spans="1:4" ht="15.75">
      <c r="A48" s="688" t="s">
        <v>1028</v>
      </c>
      <c r="B48" s="689"/>
      <c r="C48" s="688"/>
      <c r="D48" s="688"/>
    </row>
    <row r="49" spans="1:4" ht="15.75">
      <c r="A49" s="688" t="s">
        <v>1029</v>
      </c>
      <c r="B49" s="689"/>
      <c r="C49" s="732"/>
      <c r="D49" s="732"/>
    </row>
    <row r="50" spans="1:4" ht="15.75">
      <c r="A50" s="689"/>
      <c r="B50" s="689"/>
      <c r="C50" s="689"/>
      <c r="D50" s="689"/>
    </row>
  </sheetData>
  <mergeCells count="9">
    <mergeCell ref="B7:C7"/>
    <mergeCell ref="D7:E7"/>
    <mergeCell ref="C35:D35"/>
    <mergeCell ref="C36:D36"/>
    <mergeCell ref="C49:D49"/>
    <mergeCell ref="C38:D38"/>
    <mergeCell ref="C45:D45"/>
    <mergeCell ref="C46:D46"/>
    <mergeCell ref="C47:D47"/>
  </mergeCells>
  <printOptions horizontalCentered="1"/>
  <pageMargins left="0.984251968503937" right="0.984251968503937" top="1.3779527559055118" bottom="1.3779527559055118" header="0.5118110236220472" footer="0.5118110236220472"/>
  <pageSetup horizontalDpi="600" verticalDpi="600" orientation="portrait" paperSize="9" scale="63" r:id="rId1"/>
  <headerFooter alignWithMargins="0">
    <oddHeader>&amp;L&amp;9MCI Management&amp;10 Spółka Akcyjna&amp;CSA-RS 2002&amp;Rw tys. zł</oddHeader>
    <oddFooter>&amp;CKomisja Papierów Warościowych i Giełd</oddFooter>
  </headerFooter>
</worksheet>
</file>

<file path=xl/worksheets/sheet10.xml><?xml version="1.0" encoding="utf-8"?>
<worksheet xmlns="http://schemas.openxmlformats.org/spreadsheetml/2006/main" xmlns:r="http://schemas.openxmlformats.org/officeDocument/2006/relationships">
  <dimension ref="A1:E386"/>
  <sheetViews>
    <sheetView workbookViewId="0" topLeftCell="A1">
      <selection activeCell="A4" sqref="A4"/>
    </sheetView>
  </sheetViews>
  <sheetFormatPr defaultColWidth="9.00390625" defaultRowHeight="12.75"/>
  <cols>
    <col min="1" max="3" width="25.25390625" style="0" customWidth="1"/>
    <col min="4" max="5" width="30.75390625" style="0" customWidth="1"/>
  </cols>
  <sheetData>
    <row r="1" spans="1:5" ht="16.5" thickBot="1">
      <c r="A1" s="105" t="s">
        <v>678</v>
      </c>
      <c r="B1" s="99"/>
      <c r="C1" s="99"/>
      <c r="D1" s="99"/>
      <c r="E1" s="99"/>
    </row>
    <row r="2" spans="1:5" ht="15">
      <c r="A2" s="118" t="s">
        <v>1168</v>
      </c>
      <c r="B2" s="176"/>
      <c r="C2" s="120"/>
      <c r="D2" s="120"/>
      <c r="E2" s="121"/>
    </row>
    <row r="3" spans="1:5" ht="15">
      <c r="A3" s="177" t="s">
        <v>1169</v>
      </c>
      <c r="B3" s="178" t="s">
        <v>1170</v>
      </c>
      <c r="C3" s="119" t="s">
        <v>1171</v>
      </c>
      <c r="D3" s="124" t="s">
        <v>1172</v>
      </c>
      <c r="E3" s="179" t="s">
        <v>1173</v>
      </c>
    </row>
    <row r="4" spans="1:5" ht="14.25">
      <c r="A4" s="68"/>
      <c r="B4" s="107"/>
      <c r="C4" s="107"/>
      <c r="D4" s="107"/>
      <c r="E4" s="103"/>
    </row>
    <row r="5" spans="1:5" ht="14.25">
      <c r="A5" s="68"/>
      <c r="B5" s="107"/>
      <c r="C5" s="107"/>
      <c r="D5" s="107"/>
      <c r="E5" s="103"/>
    </row>
    <row r="6" spans="1:5" ht="14.25">
      <c r="A6" s="68"/>
      <c r="B6" s="107"/>
      <c r="C6" s="107"/>
      <c r="D6" s="107"/>
      <c r="E6" s="103"/>
    </row>
    <row r="7" spans="1:5" ht="14.25">
      <c r="A7" s="68"/>
      <c r="B7" s="107"/>
      <c r="C7" s="107"/>
      <c r="D7" s="107"/>
      <c r="E7" s="103"/>
    </row>
    <row r="8" spans="1:5" ht="14.25">
      <c r="A8" s="68"/>
      <c r="B8" s="107"/>
      <c r="C8" s="107"/>
      <c r="D8" s="107"/>
      <c r="E8" s="103"/>
    </row>
    <row r="9" spans="1:5" ht="14.25">
      <c r="A9" s="68"/>
      <c r="B9" s="107"/>
      <c r="C9" s="107"/>
      <c r="D9" s="107"/>
      <c r="E9" s="103"/>
    </row>
    <row r="10" spans="1:5" ht="15" thickBot="1">
      <c r="A10" s="69"/>
      <c r="B10" s="108"/>
      <c r="C10" s="108"/>
      <c r="D10" s="108"/>
      <c r="E10" s="104"/>
    </row>
    <row r="11" spans="1:5" ht="15">
      <c r="A11" s="217"/>
      <c r="B11" s="218"/>
      <c r="C11" s="218"/>
      <c r="D11" s="218"/>
      <c r="E11" s="99"/>
    </row>
    <row r="12" spans="1:5" ht="15">
      <c r="A12" s="219"/>
      <c r="B12" s="106"/>
      <c r="C12" s="106"/>
      <c r="D12" s="106"/>
      <c r="E12" s="99"/>
    </row>
    <row r="13" spans="1:5" ht="16.5" thickBot="1">
      <c r="A13" s="105" t="s">
        <v>679</v>
      </c>
      <c r="B13" s="99"/>
      <c r="C13" s="99"/>
      <c r="D13" s="99"/>
      <c r="E13" s="99"/>
    </row>
    <row r="14" spans="1:5" ht="15">
      <c r="A14" s="118" t="s">
        <v>1174</v>
      </c>
      <c r="B14" s="176"/>
      <c r="C14" s="120"/>
      <c r="D14" s="120"/>
      <c r="E14" s="121"/>
    </row>
    <row r="15" spans="1:5" ht="15">
      <c r="A15" s="122" t="s">
        <v>1175</v>
      </c>
      <c r="B15" s="148"/>
      <c r="C15" s="119" t="s">
        <v>1169</v>
      </c>
      <c r="D15" s="180" t="s">
        <v>1170</v>
      </c>
      <c r="E15" s="181" t="s">
        <v>1171</v>
      </c>
    </row>
    <row r="16" spans="1:5" ht="14.25">
      <c r="A16" s="95"/>
      <c r="B16" s="136"/>
      <c r="C16" s="72"/>
      <c r="D16" s="72"/>
      <c r="E16" s="73"/>
    </row>
    <row r="17" spans="1:5" ht="14.25">
      <c r="A17" s="95"/>
      <c r="B17" s="136"/>
      <c r="C17" s="72"/>
      <c r="D17" s="72"/>
      <c r="E17" s="73"/>
    </row>
    <row r="18" spans="1:5" ht="14.25">
      <c r="A18" s="95"/>
      <c r="B18" s="136"/>
      <c r="C18" s="72"/>
      <c r="D18" s="72"/>
      <c r="E18" s="73"/>
    </row>
    <row r="19" spans="1:5" ht="14.25">
      <c r="A19" s="95"/>
      <c r="B19" s="136"/>
      <c r="C19" s="72"/>
      <c r="D19" s="72"/>
      <c r="E19" s="73"/>
    </row>
    <row r="20" spans="1:5" ht="14.25">
      <c r="A20" s="95"/>
      <c r="B20" s="136"/>
      <c r="C20" s="72"/>
      <c r="D20" s="72"/>
      <c r="E20" s="73"/>
    </row>
    <row r="21" spans="1:5" ht="14.25">
      <c r="A21" s="95"/>
      <c r="B21" s="136"/>
      <c r="C21" s="72"/>
      <c r="D21" s="72"/>
      <c r="E21" s="73"/>
    </row>
    <row r="22" spans="1:5" ht="15" thickBot="1">
      <c r="A22" s="101"/>
      <c r="B22" s="137"/>
      <c r="C22" s="83"/>
      <c r="D22" s="83"/>
      <c r="E22" s="84"/>
    </row>
    <row r="23" spans="1:4" ht="15">
      <c r="A23" s="109"/>
      <c r="B23" s="30"/>
      <c r="C23" s="30"/>
      <c r="D23" s="30"/>
    </row>
    <row r="24" spans="1:4" ht="15">
      <c r="A24" s="109"/>
      <c r="B24" s="30"/>
      <c r="C24" s="30"/>
      <c r="D24" s="30"/>
    </row>
    <row r="25" spans="1:4" ht="15">
      <c r="A25" s="109"/>
      <c r="B25" s="30"/>
      <c r="C25" s="30"/>
      <c r="D25" s="30"/>
    </row>
    <row r="26" spans="1:4" ht="15">
      <c r="A26" s="109"/>
      <c r="B26" s="30"/>
      <c r="C26" s="30"/>
      <c r="D26" s="30"/>
    </row>
    <row r="27" spans="1:4" ht="15">
      <c r="A27" s="109"/>
      <c r="B27" s="30"/>
      <c r="C27" s="30"/>
      <c r="D27" s="30"/>
    </row>
    <row r="28" spans="1:4" ht="15">
      <c r="A28" s="109"/>
      <c r="B28" s="30"/>
      <c r="C28" s="30"/>
      <c r="D28" s="30"/>
    </row>
    <row r="29" spans="1:4" ht="15">
      <c r="A29" s="109"/>
      <c r="B29" s="30"/>
      <c r="C29" s="30"/>
      <c r="D29" s="30"/>
    </row>
    <row r="30" spans="1:4" ht="15">
      <c r="A30" s="112"/>
      <c r="B30" s="60"/>
      <c r="C30" s="60"/>
      <c r="D30" s="60"/>
    </row>
    <row r="31" spans="1:4" ht="15">
      <c r="A31" s="109"/>
      <c r="B31" s="30"/>
      <c r="C31" s="30"/>
      <c r="D31" s="30"/>
    </row>
    <row r="32" spans="1:4" ht="15">
      <c r="A32" s="112"/>
      <c r="B32" s="60"/>
      <c r="C32" s="60"/>
      <c r="D32" s="60"/>
    </row>
    <row r="33" spans="1:4" ht="15">
      <c r="A33" s="109"/>
      <c r="B33" s="30"/>
      <c r="C33" s="30"/>
      <c r="D33" s="30"/>
    </row>
    <row r="34" spans="1:4" ht="15">
      <c r="A34" s="109"/>
      <c r="B34" s="30"/>
      <c r="C34" s="30"/>
      <c r="D34" s="30"/>
    </row>
    <row r="35" spans="1:4" ht="15">
      <c r="A35" s="109"/>
      <c r="B35" s="30"/>
      <c r="C35" s="30"/>
      <c r="D35" s="30"/>
    </row>
    <row r="36" spans="1:4" ht="15">
      <c r="A36" s="109"/>
      <c r="B36" s="30"/>
      <c r="C36" s="30"/>
      <c r="D36" s="30"/>
    </row>
    <row r="37" spans="1:4" ht="15">
      <c r="A37" s="109"/>
      <c r="B37" s="30"/>
      <c r="C37" s="30"/>
      <c r="D37" s="30"/>
    </row>
    <row r="38" spans="1:4" ht="15">
      <c r="A38" s="109"/>
      <c r="B38" s="30"/>
      <c r="C38" s="30"/>
      <c r="D38" s="30"/>
    </row>
    <row r="39" spans="1:4" ht="12.75">
      <c r="A39" s="30"/>
      <c r="B39" s="30"/>
      <c r="C39" s="30"/>
      <c r="D39" s="30"/>
    </row>
    <row r="40" spans="1:4" ht="12.75">
      <c r="A40" s="97"/>
      <c r="B40" s="30"/>
      <c r="C40" s="30"/>
      <c r="D40" s="30"/>
    </row>
    <row r="41" spans="1:4" ht="4.5" customHeight="1">
      <c r="A41" s="30"/>
      <c r="B41" s="30"/>
      <c r="C41" s="30"/>
      <c r="D41" s="30"/>
    </row>
    <row r="42" spans="1:4" ht="12.75">
      <c r="A42" s="161"/>
      <c r="B42" s="30"/>
      <c r="C42" s="30"/>
      <c r="D42" s="30"/>
    </row>
    <row r="43" spans="1:4" ht="12.75">
      <c r="A43" s="161"/>
      <c r="B43" s="30"/>
      <c r="C43" s="30"/>
      <c r="D43" s="30"/>
    </row>
    <row r="44" spans="1:4" ht="12.75">
      <c r="A44" s="161"/>
      <c r="B44" s="30"/>
      <c r="C44" s="30"/>
      <c r="D44" s="30"/>
    </row>
    <row r="45" spans="1:4" ht="12.75">
      <c r="A45" s="161"/>
      <c r="B45" s="30"/>
      <c r="C45" s="30"/>
      <c r="D45" s="30"/>
    </row>
    <row r="46" spans="1:4" ht="12.75">
      <c r="A46" s="161"/>
      <c r="B46" s="30"/>
      <c r="C46" s="30"/>
      <c r="D46" s="30"/>
    </row>
    <row r="47" spans="1:4" ht="12.75">
      <c r="A47" s="161"/>
      <c r="B47" s="30"/>
      <c r="C47" s="30"/>
      <c r="D47" s="30"/>
    </row>
    <row r="48" spans="1:4" ht="3.75" customHeight="1">
      <c r="A48" s="30"/>
      <c r="B48" s="30"/>
      <c r="C48" s="30"/>
      <c r="D48" s="30"/>
    </row>
    <row r="49" spans="1:4" ht="12.75">
      <c r="A49" s="161"/>
      <c r="B49" s="30"/>
      <c r="C49" s="30"/>
      <c r="D49" s="30"/>
    </row>
    <row r="50" spans="1:4" ht="12.75">
      <c r="A50" s="161"/>
      <c r="B50" s="30"/>
      <c r="C50" s="30"/>
      <c r="D50" s="30"/>
    </row>
    <row r="51" spans="1:4" ht="12.75">
      <c r="A51" s="161"/>
      <c r="B51" s="30"/>
      <c r="C51" s="30"/>
      <c r="D51" s="30"/>
    </row>
    <row r="52" spans="1:4" ht="12.75">
      <c r="A52" s="161"/>
      <c r="B52" s="30"/>
      <c r="C52" s="30"/>
      <c r="D52" s="30"/>
    </row>
    <row r="53" spans="1:4" ht="12.75" customHeight="1">
      <c r="A53" s="163"/>
      <c r="B53" s="30"/>
      <c r="C53" s="30"/>
      <c r="D53" s="30"/>
    </row>
    <row r="54" spans="1:4" ht="12.75">
      <c r="A54" s="30"/>
      <c r="B54" s="30"/>
      <c r="C54" s="30"/>
      <c r="D54" s="30"/>
    </row>
    <row r="55" spans="1:4" ht="12.75">
      <c r="A55" s="97"/>
      <c r="B55" s="30"/>
      <c r="C55" s="30"/>
      <c r="D55" s="30"/>
    </row>
    <row r="56" spans="1:4" ht="12.75">
      <c r="A56" s="161"/>
      <c r="B56" s="30"/>
      <c r="C56" s="30"/>
      <c r="D56" s="30"/>
    </row>
    <row r="57" spans="1:4" ht="12.75">
      <c r="A57" s="161"/>
      <c r="B57" s="30"/>
      <c r="C57" s="30"/>
      <c r="D57" s="30"/>
    </row>
    <row r="58" spans="1:4" ht="12.75">
      <c r="A58" s="30"/>
      <c r="B58" s="30"/>
      <c r="C58" s="30"/>
      <c r="D58" s="30"/>
    </row>
    <row r="59" spans="1:4" ht="12.75">
      <c r="A59" s="30"/>
      <c r="B59" s="30"/>
      <c r="C59" s="30"/>
      <c r="D59" s="30"/>
    </row>
    <row r="60" spans="1:4" ht="15.75">
      <c r="A60" s="53"/>
      <c r="B60" s="30"/>
      <c r="C60" s="30"/>
      <c r="D60" s="30"/>
    </row>
    <row r="61" spans="1:4" ht="12.75">
      <c r="A61" s="113"/>
      <c r="B61" s="52"/>
      <c r="C61" s="52"/>
      <c r="D61" s="52"/>
    </row>
    <row r="62" spans="1:4" ht="15">
      <c r="A62" s="109"/>
      <c r="B62" s="30"/>
      <c r="C62" s="30"/>
      <c r="D62" s="30"/>
    </row>
    <row r="63" spans="1:4" ht="15">
      <c r="A63" s="109"/>
      <c r="B63" s="30"/>
      <c r="C63" s="30"/>
      <c r="D63" s="30"/>
    </row>
    <row r="64" spans="1:4" ht="15">
      <c r="A64" s="109"/>
      <c r="B64" s="30"/>
      <c r="C64" s="30"/>
      <c r="D64" s="30"/>
    </row>
    <row r="65" spans="1:4" ht="15">
      <c r="A65" s="109"/>
      <c r="B65" s="30"/>
      <c r="C65" s="30"/>
      <c r="D65" s="30"/>
    </row>
    <row r="66" spans="1:4" ht="15">
      <c r="A66" s="109"/>
      <c r="B66" s="30"/>
      <c r="C66" s="30"/>
      <c r="D66" s="30"/>
    </row>
    <row r="67" spans="1:4" ht="12.75">
      <c r="A67" s="30"/>
      <c r="B67" s="30"/>
      <c r="C67" s="30"/>
      <c r="D67" s="30"/>
    </row>
    <row r="68" spans="1:4" ht="15.75">
      <c r="A68" s="53"/>
      <c r="B68" s="30"/>
      <c r="C68" s="30"/>
      <c r="D68" s="30"/>
    </row>
    <row r="69" spans="1:4" ht="12.75">
      <c r="A69" s="113"/>
      <c r="B69" s="52"/>
      <c r="C69" s="52"/>
      <c r="D69" s="52"/>
    </row>
    <row r="70" spans="1:4" ht="15">
      <c r="A70" s="109"/>
      <c r="B70" s="30"/>
      <c r="C70" s="30"/>
      <c r="D70" s="30"/>
    </row>
    <row r="71" spans="1:4" ht="15">
      <c r="A71" s="109"/>
      <c r="B71" s="30"/>
      <c r="C71" s="30"/>
      <c r="D71" s="30"/>
    </row>
    <row r="72" spans="1:4" ht="15">
      <c r="A72" s="109"/>
      <c r="B72" s="30"/>
      <c r="C72" s="30"/>
      <c r="D72" s="30"/>
    </row>
    <row r="73" spans="1:4" ht="15">
      <c r="A73" s="109"/>
      <c r="B73" s="30"/>
      <c r="C73" s="30"/>
      <c r="D73" s="30"/>
    </row>
    <row r="74" spans="1:4" ht="15">
      <c r="A74" s="109"/>
      <c r="B74" s="30"/>
      <c r="C74" s="30"/>
      <c r="D74" s="30"/>
    </row>
    <row r="75" spans="1:4" ht="15">
      <c r="A75" s="109"/>
      <c r="B75" s="30"/>
      <c r="C75" s="30"/>
      <c r="D75" s="30"/>
    </row>
    <row r="76" spans="1:4" ht="12.75">
      <c r="A76" s="30"/>
      <c r="B76" s="30"/>
      <c r="C76" s="30"/>
      <c r="D76" s="30"/>
    </row>
    <row r="77" spans="1:4" ht="15.75">
      <c r="A77" s="53"/>
      <c r="B77" s="30"/>
      <c r="C77" s="30"/>
      <c r="D77" s="30"/>
    </row>
    <row r="78" spans="1:4" ht="12.75">
      <c r="A78" s="113"/>
      <c r="B78" s="52"/>
      <c r="C78" s="52"/>
      <c r="D78" s="52"/>
    </row>
    <row r="79" spans="1:4" ht="15">
      <c r="A79" s="109"/>
      <c r="B79" s="110"/>
      <c r="C79" s="110"/>
      <c r="D79" s="110"/>
    </row>
    <row r="80" spans="1:4" ht="15">
      <c r="A80" s="109"/>
      <c r="B80" s="110"/>
      <c r="C80" s="110"/>
      <c r="D80" s="110"/>
    </row>
    <row r="81" spans="1:4" ht="15">
      <c r="A81" s="109"/>
      <c r="B81" s="110"/>
      <c r="C81" s="110"/>
      <c r="D81" s="110"/>
    </row>
    <row r="82" spans="1:4" ht="15">
      <c r="A82" s="109"/>
      <c r="B82" s="110"/>
      <c r="C82" s="110"/>
      <c r="D82" s="110"/>
    </row>
    <row r="83" spans="1:4" ht="15">
      <c r="A83" s="109"/>
      <c r="B83" s="110"/>
      <c r="C83" s="110"/>
      <c r="D83" s="110"/>
    </row>
    <row r="84" spans="1:4" ht="15">
      <c r="A84" s="109"/>
      <c r="B84" s="110"/>
      <c r="C84" s="110"/>
      <c r="D84" s="110"/>
    </row>
    <row r="85" spans="1:4" ht="15">
      <c r="A85" s="109"/>
      <c r="B85" s="110"/>
      <c r="C85" s="110"/>
      <c r="D85" s="110"/>
    </row>
    <row r="86" spans="1:4" ht="15">
      <c r="A86" s="109"/>
      <c r="B86" s="110"/>
      <c r="C86" s="110"/>
      <c r="D86" s="110"/>
    </row>
    <row r="87" spans="1:4" ht="15">
      <c r="A87" s="109"/>
      <c r="B87" s="110"/>
      <c r="C87" s="110"/>
      <c r="D87" s="110"/>
    </row>
    <row r="88" spans="1:4" ht="15">
      <c r="A88" s="109"/>
      <c r="B88" s="110"/>
      <c r="C88" s="110"/>
      <c r="D88" s="110"/>
    </row>
    <row r="89" spans="1:4" ht="15">
      <c r="A89" s="112"/>
      <c r="B89" s="110"/>
      <c r="C89" s="110"/>
      <c r="D89" s="110"/>
    </row>
    <row r="90" spans="1:4" ht="15">
      <c r="A90" s="109"/>
      <c r="B90" s="110"/>
      <c r="C90" s="110"/>
      <c r="D90" s="110"/>
    </row>
    <row r="91" spans="1:4" ht="15">
      <c r="A91" s="109"/>
      <c r="B91" s="110"/>
      <c r="C91" s="110"/>
      <c r="D91" s="110"/>
    </row>
    <row r="92" spans="1:4" ht="15">
      <c r="A92" s="109"/>
      <c r="B92" s="110"/>
      <c r="C92" s="110"/>
      <c r="D92" s="110"/>
    </row>
    <row r="93" spans="1:4" ht="15">
      <c r="A93" s="109"/>
      <c r="B93" s="110"/>
      <c r="C93" s="110"/>
      <c r="D93" s="110"/>
    </row>
    <row r="94" spans="1:4" ht="15">
      <c r="A94" s="109"/>
      <c r="B94" s="110"/>
      <c r="C94" s="110"/>
      <c r="D94" s="110"/>
    </row>
    <row r="95" spans="1:4" ht="12.75">
      <c r="A95" s="30"/>
      <c r="B95" s="30"/>
      <c r="C95" s="30"/>
      <c r="D95" s="30"/>
    </row>
    <row r="96" spans="1:4" ht="15.75">
      <c r="A96" s="53"/>
      <c r="B96" s="30"/>
      <c r="C96" s="30"/>
      <c r="D96" s="30"/>
    </row>
    <row r="97" spans="1:4" ht="12.75">
      <c r="A97" s="113"/>
      <c r="B97" s="52"/>
      <c r="C97" s="52"/>
      <c r="D97" s="52"/>
    </row>
    <row r="98" spans="1:4" ht="15">
      <c r="A98" s="109"/>
      <c r="B98" s="110"/>
      <c r="C98" s="110"/>
      <c r="D98" s="110"/>
    </row>
    <row r="99" spans="1:4" ht="15">
      <c r="A99" s="109"/>
      <c r="B99" s="110"/>
      <c r="C99" s="110"/>
      <c r="D99" s="110"/>
    </row>
    <row r="100" spans="1:4" ht="15">
      <c r="A100" s="109"/>
      <c r="B100" s="110"/>
      <c r="C100" s="110"/>
      <c r="D100" s="110"/>
    </row>
    <row r="101" spans="1:4" ht="15">
      <c r="A101" s="109"/>
      <c r="B101" s="110"/>
      <c r="C101" s="110"/>
      <c r="D101" s="110"/>
    </row>
    <row r="102" spans="1:4" ht="15">
      <c r="A102" s="109"/>
      <c r="B102" s="110"/>
      <c r="C102" s="110"/>
      <c r="D102" s="110"/>
    </row>
    <row r="103" spans="1:4" ht="15">
      <c r="A103" s="109"/>
      <c r="B103" s="110"/>
      <c r="C103" s="110"/>
      <c r="D103" s="110"/>
    </row>
    <row r="104" spans="1:4" ht="15">
      <c r="A104" s="109"/>
      <c r="B104" s="110"/>
      <c r="C104" s="110"/>
      <c r="D104" s="110"/>
    </row>
    <row r="105" spans="1:4" ht="15">
      <c r="A105" s="109"/>
      <c r="B105" s="110"/>
      <c r="C105" s="110"/>
      <c r="D105" s="110"/>
    </row>
    <row r="106" spans="1:4" ht="15">
      <c r="A106" s="109"/>
      <c r="B106" s="110"/>
      <c r="C106" s="110"/>
      <c r="D106" s="110"/>
    </row>
    <row r="107" spans="1:4" ht="15">
      <c r="A107" s="109"/>
      <c r="B107" s="110"/>
      <c r="C107" s="110"/>
      <c r="D107" s="110"/>
    </row>
    <row r="108" spans="1:4" ht="15">
      <c r="A108" s="109"/>
      <c r="B108" s="110"/>
      <c r="C108" s="110"/>
      <c r="D108" s="110"/>
    </row>
    <row r="109" spans="1:4" ht="15">
      <c r="A109" s="109"/>
      <c r="B109" s="110"/>
      <c r="C109" s="110"/>
      <c r="D109" s="110"/>
    </row>
    <row r="110" spans="1:4" ht="15">
      <c r="A110" s="109"/>
      <c r="B110" s="110"/>
      <c r="C110" s="110"/>
      <c r="D110" s="110"/>
    </row>
    <row r="111" spans="1:4" ht="15">
      <c r="A111" s="109"/>
      <c r="B111" s="110"/>
      <c r="C111" s="110"/>
      <c r="D111" s="110"/>
    </row>
    <row r="112" spans="1:4" ht="15">
      <c r="A112" s="109"/>
      <c r="B112" s="110"/>
      <c r="C112" s="110"/>
      <c r="D112" s="110"/>
    </row>
    <row r="113" spans="1:4" ht="15">
      <c r="A113" s="109"/>
      <c r="B113" s="110"/>
      <c r="C113" s="110"/>
      <c r="D113" s="110"/>
    </row>
    <row r="114" spans="1:4" ht="15">
      <c r="A114" s="109"/>
      <c r="B114" s="110"/>
      <c r="C114" s="110"/>
      <c r="D114" s="110"/>
    </row>
    <row r="115" spans="1:4" ht="15">
      <c r="A115" s="109"/>
      <c r="B115" s="110"/>
      <c r="C115" s="110"/>
      <c r="D115" s="110"/>
    </row>
    <row r="116" spans="1:4" ht="15">
      <c r="A116" s="109"/>
      <c r="B116" s="110"/>
      <c r="C116" s="110"/>
      <c r="D116" s="110"/>
    </row>
    <row r="117" spans="1:4" ht="15">
      <c r="A117" s="109"/>
      <c r="B117" s="110"/>
      <c r="C117" s="110"/>
      <c r="D117" s="110"/>
    </row>
    <row r="118" spans="1:4" ht="15">
      <c r="A118" s="109"/>
      <c r="B118" s="110"/>
      <c r="C118" s="110"/>
      <c r="D118" s="110"/>
    </row>
    <row r="119" spans="1:4" ht="12.75">
      <c r="A119" s="30"/>
      <c r="B119" s="30"/>
      <c r="C119" s="30"/>
      <c r="D119" s="30"/>
    </row>
    <row r="120" spans="1:4" ht="15.75">
      <c r="A120" s="53"/>
      <c r="B120" s="30"/>
      <c r="C120" s="30"/>
      <c r="D120" s="30"/>
    </row>
    <row r="121" spans="1:4" ht="12.75">
      <c r="A121" s="113"/>
      <c r="B121" s="52"/>
      <c r="C121" s="52"/>
      <c r="D121" s="52"/>
    </row>
    <row r="122" spans="1:4" ht="12.75">
      <c r="A122" s="30"/>
      <c r="B122" s="110"/>
      <c r="C122" s="110"/>
      <c r="D122" s="110"/>
    </row>
    <row r="123" spans="1:4" ht="15">
      <c r="A123" s="109"/>
      <c r="B123" s="110"/>
      <c r="C123" s="110"/>
      <c r="D123" s="110"/>
    </row>
    <row r="124" spans="1:4" ht="15">
      <c r="A124" s="109"/>
      <c r="B124" s="110"/>
      <c r="C124" s="110"/>
      <c r="D124" s="110"/>
    </row>
    <row r="125" spans="1:4" ht="15">
      <c r="A125" s="109"/>
      <c r="B125" s="110"/>
      <c r="C125" s="110"/>
      <c r="D125" s="110"/>
    </row>
    <row r="126" spans="1:4" ht="15">
      <c r="A126" s="109"/>
      <c r="B126" s="110"/>
      <c r="C126" s="110"/>
      <c r="D126" s="110"/>
    </row>
    <row r="127" spans="1:4" ht="15">
      <c r="A127" s="109"/>
      <c r="B127" s="110"/>
      <c r="C127" s="110"/>
      <c r="D127" s="110"/>
    </row>
    <row r="128" spans="1:4" ht="12.75">
      <c r="A128" s="30"/>
      <c r="B128" s="30"/>
      <c r="C128" s="30"/>
      <c r="D128" s="30"/>
    </row>
    <row r="129" spans="1:4" ht="15.75">
      <c r="A129" s="53"/>
      <c r="B129" s="30"/>
      <c r="C129" s="30"/>
      <c r="D129" s="30"/>
    </row>
    <row r="130" spans="1:4" ht="12.75">
      <c r="A130" s="113"/>
      <c r="B130" s="52"/>
      <c r="C130" s="52"/>
      <c r="D130" s="52"/>
    </row>
    <row r="131" spans="1:4" ht="15">
      <c r="A131" s="109"/>
      <c r="B131" s="110"/>
      <c r="C131" s="110"/>
      <c r="D131" s="110"/>
    </row>
    <row r="132" spans="1:4" ht="15">
      <c r="A132" s="109"/>
      <c r="B132" s="110"/>
      <c r="C132" s="110"/>
      <c r="D132" s="110"/>
    </row>
    <row r="133" spans="1:4" ht="15">
      <c r="A133" s="109"/>
      <c r="B133" s="110"/>
      <c r="C133" s="110"/>
      <c r="D133" s="110"/>
    </row>
    <row r="134" spans="1:4" ht="15">
      <c r="A134" s="109"/>
      <c r="B134" s="110"/>
      <c r="C134" s="110"/>
      <c r="D134" s="110"/>
    </row>
    <row r="135" spans="1:4" ht="15">
      <c r="A135" s="109"/>
      <c r="B135" s="110"/>
      <c r="C135" s="110"/>
      <c r="D135" s="110"/>
    </row>
    <row r="136" spans="1:4" ht="15">
      <c r="A136" s="109"/>
      <c r="B136" s="110"/>
      <c r="C136" s="110"/>
      <c r="D136" s="110"/>
    </row>
    <row r="137" spans="1:4" ht="15">
      <c r="A137" s="109"/>
      <c r="B137" s="30"/>
      <c r="C137" s="30"/>
      <c r="D137" s="30"/>
    </row>
    <row r="138" spans="1:4" ht="12.75">
      <c r="A138" s="30"/>
      <c r="B138" s="30"/>
      <c r="C138" s="30"/>
      <c r="D138" s="30"/>
    </row>
    <row r="139" spans="1:4" ht="15.75">
      <c r="A139" s="53"/>
      <c r="B139" s="30"/>
      <c r="C139" s="30"/>
      <c r="D139" s="30"/>
    </row>
    <row r="140" spans="1:4" ht="12.75">
      <c r="A140" s="164"/>
      <c r="B140" s="116"/>
      <c r="C140" s="116"/>
      <c r="D140" s="116"/>
    </row>
    <row r="141" spans="1:4" ht="15">
      <c r="A141" s="109"/>
      <c r="B141" s="110"/>
      <c r="C141" s="110"/>
      <c r="D141" s="110"/>
    </row>
    <row r="142" spans="1:4" ht="15">
      <c r="A142" s="109"/>
      <c r="B142" s="110"/>
      <c r="C142" s="110"/>
      <c r="D142" s="110"/>
    </row>
    <row r="143" spans="1:4" ht="15">
      <c r="A143" s="109"/>
      <c r="B143" s="110"/>
      <c r="C143" s="110"/>
      <c r="D143" s="110"/>
    </row>
    <row r="144" spans="1:4" ht="15">
      <c r="A144" s="109"/>
      <c r="B144" s="110"/>
      <c r="C144" s="110"/>
      <c r="D144" s="110"/>
    </row>
    <row r="145" spans="1:4" ht="15">
      <c r="A145" s="109"/>
      <c r="B145" s="110"/>
      <c r="C145" s="110"/>
      <c r="D145" s="110"/>
    </row>
    <row r="146" spans="1:4" ht="15">
      <c r="A146" s="109"/>
      <c r="B146" s="110"/>
      <c r="C146" s="110"/>
      <c r="D146" s="110"/>
    </row>
    <row r="147" spans="1:4" ht="15">
      <c r="A147" s="109"/>
      <c r="B147" s="110"/>
      <c r="C147" s="110"/>
      <c r="D147" s="110"/>
    </row>
    <row r="148" spans="1:4" ht="15">
      <c r="A148" s="109"/>
      <c r="B148" s="110"/>
      <c r="C148" s="110"/>
      <c r="D148" s="110"/>
    </row>
    <row r="149" spans="1:4" ht="15">
      <c r="A149" s="109"/>
      <c r="B149" s="110"/>
      <c r="C149" s="110"/>
      <c r="D149" s="110"/>
    </row>
    <row r="150" spans="1:4" ht="12.75">
      <c r="A150" s="30"/>
      <c r="B150" s="30"/>
      <c r="C150" s="30"/>
      <c r="D150" s="30"/>
    </row>
    <row r="151" spans="1:4" ht="12.75">
      <c r="A151" s="97"/>
      <c r="B151" s="30"/>
      <c r="C151" s="30"/>
      <c r="D151" s="30"/>
    </row>
    <row r="152" spans="1:4" ht="12.75">
      <c r="A152" s="30"/>
      <c r="B152" s="30"/>
      <c r="C152" s="30"/>
      <c r="D152" s="30"/>
    </row>
    <row r="153" spans="1:4" ht="15.75">
      <c r="A153" s="53"/>
      <c r="B153" s="30"/>
      <c r="C153" s="30"/>
      <c r="D153" s="30"/>
    </row>
    <row r="154" spans="1:4" ht="12.75">
      <c r="A154" s="164"/>
      <c r="B154" s="116"/>
      <c r="C154" s="116"/>
      <c r="D154" s="116"/>
    </row>
    <row r="155" spans="1:4" ht="15">
      <c r="A155" s="109"/>
      <c r="B155" s="110"/>
      <c r="C155" s="110"/>
      <c r="D155" s="110"/>
    </row>
    <row r="156" spans="1:4" ht="15">
      <c r="A156" s="109"/>
      <c r="B156" s="110"/>
      <c r="C156" s="110"/>
      <c r="D156" s="110"/>
    </row>
    <row r="157" spans="1:4" ht="15">
      <c r="A157" s="109"/>
      <c r="B157" s="110"/>
      <c r="C157" s="110"/>
      <c r="D157" s="110"/>
    </row>
    <row r="158" spans="1:4" ht="15">
      <c r="A158" s="109"/>
      <c r="B158" s="110"/>
      <c r="C158" s="110"/>
      <c r="D158" s="110"/>
    </row>
    <row r="159" spans="1:4" ht="15">
      <c r="A159" s="109"/>
      <c r="B159" s="110"/>
      <c r="C159" s="110"/>
      <c r="D159" s="110"/>
    </row>
    <row r="160" spans="1:4" ht="15">
      <c r="A160" s="109"/>
      <c r="B160" s="110"/>
      <c r="C160" s="110"/>
      <c r="D160" s="110"/>
    </row>
    <row r="161" spans="1:4" ht="15">
      <c r="A161" s="109"/>
      <c r="B161" s="110"/>
      <c r="C161" s="110"/>
      <c r="D161" s="110"/>
    </row>
    <row r="162" spans="1:4" ht="15">
      <c r="A162" s="109"/>
      <c r="B162" s="110"/>
      <c r="C162" s="110"/>
      <c r="D162" s="110"/>
    </row>
    <row r="163" spans="1:4" ht="12.75">
      <c r="A163" s="30"/>
      <c r="B163" s="30"/>
      <c r="C163" s="30"/>
      <c r="D163" s="30"/>
    </row>
    <row r="164" spans="1:4" ht="15.75">
      <c r="A164" s="53"/>
      <c r="B164" s="30"/>
      <c r="C164" s="30"/>
      <c r="D164" s="30"/>
    </row>
    <row r="165" spans="1:4" ht="12.75">
      <c r="A165" s="114"/>
      <c r="B165" s="30"/>
      <c r="C165" s="30"/>
      <c r="D165" s="30"/>
    </row>
    <row r="166" spans="1:4" ht="12.75">
      <c r="A166" s="30"/>
      <c r="B166" s="30"/>
      <c r="C166" s="30"/>
      <c r="D166" s="30"/>
    </row>
    <row r="167" spans="1:4" ht="12.75">
      <c r="A167" s="97"/>
      <c r="B167" s="30"/>
      <c r="C167" s="30"/>
      <c r="D167" s="30"/>
    </row>
    <row r="168" spans="1:4" ht="12.75">
      <c r="A168" s="30"/>
      <c r="B168" s="30"/>
      <c r="C168" s="30"/>
      <c r="D168" s="30"/>
    </row>
    <row r="169" spans="1:4" ht="15.75">
      <c r="A169" s="53"/>
      <c r="B169" s="30"/>
      <c r="C169" s="30"/>
      <c r="D169" s="30"/>
    </row>
    <row r="170" spans="1:4" ht="12.75">
      <c r="A170" s="113"/>
      <c r="B170" s="52"/>
      <c r="C170" s="52"/>
      <c r="D170" s="52"/>
    </row>
    <row r="171" spans="1:4" ht="15">
      <c r="A171" s="109"/>
      <c r="B171" s="110"/>
      <c r="C171" s="110"/>
      <c r="D171" s="110"/>
    </row>
    <row r="172" spans="1:4" ht="15">
      <c r="A172" s="109"/>
      <c r="B172" s="110"/>
      <c r="C172" s="110"/>
      <c r="D172" s="110"/>
    </row>
    <row r="173" spans="1:4" ht="15">
      <c r="A173" s="109"/>
      <c r="B173" s="110"/>
      <c r="C173" s="110"/>
      <c r="D173" s="110"/>
    </row>
    <row r="174" spans="1:4" ht="15">
      <c r="A174" s="109"/>
      <c r="B174" s="110"/>
      <c r="C174" s="110"/>
      <c r="D174" s="110"/>
    </row>
    <row r="175" spans="1:4" ht="15">
      <c r="A175" s="109"/>
      <c r="B175" s="110"/>
      <c r="C175" s="110"/>
      <c r="D175" s="110"/>
    </row>
    <row r="176" spans="1:4" ht="15">
      <c r="A176" s="109"/>
      <c r="B176" s="110"/>
      <c r="C176" s="110"/>
      <c r="D176" s="110"/>
    </row>
    <row r="177" spans="1:4" ht="15">
      <c r="A177" s="109"/>
      <c r="B177" s="110"/>
      <c r="C177" s="110"/>
      <c r="D177" s="110"/>
    </row>
    <row r="178" spans="1:4" ht="15">
      <c r="A178" s="109"/>
      <c r="B178" s="110"/>
      <c r="C178" s="110"/>
      <c r="D178" s="110"/>
    </row>
    <row r="179" spans="1:4" ht="15">
      <c r="A179" s="109"/>
      <c r="B179" s="110"/>
      <c r="C179" s="110"/>
      <c r="D179" s="110"/>
    </row>
    <row r="180" spans="1:4" ht="15">
      <c r="A180" s="109"/>
      <c r="B180" s="110"/>
      <c r="C180" s="110"/>
      <c r="D180" s="110"/>
    </row>
    <row r="181" spans="1:4" ht="15">
      <c r="A181" s="109"/>
      <c r="B181" s="110"/>
      <c r="C181" s="110"/>
      <c r="D181" s="110"/>
    </row>
    <row r="182" spans="1:4" ht="15">
      <c r="A182" s="109"/>
      <c r="B182" s="110"/>
      <c r="C182" s="110"/>
      <c r="D182" s="110"/>
    </row>
    <row r="183" spans="1:4" ht="15">
      <c r="A183" s="109"/>
      <c r="B183" s="110"/>
      <c r="C183" s="110"/>
      <c r="D183" s="110"/>
    </row>
    <row r="184" spans="1:4" ht="15">
      <c r="A184" s="109"/>
      <c r="B184" s="110"/>
      <c r="C184" s="110"/>
      <c r="D184" s="110"/>
    </row>
    <row r="185" spans="1:4" ht="15">
      <c r="A185" s="109"/>
      <c r="B185" s="110"/>
      <c r="C185" s="110"/>
      <c r="D185" s="110"/>
    </row>
    <row r="186" spans="1:4" ht="15">
      <c r="A186" s="109"/>
      <c r="B186" s="110"/>
      <c r="C186" s="110"/>
      <c r="D186" s="110"/>
    </row>
    <row r="187" spans="1:4" ht="15">
      <c r="A187" s="109"/>
      <c r="B187" s="110"/>
      <c r="C187" s="110"/>
      <c r="D187" s="110"/>
    </row>
    <row r="188" spans="1:4" ht="15">
      <c r="A188" s="109"/>
      <c r="B188" s="110"/>
      <c r="C188" s="110"/>
      <c r="D188" s="110"/>
    </row>
    <row r="189" spans="1:4" ht="15">
      <c r="A189" s="109"/>
      <c r="B189" s="110"/>
      <c r="C189" s="110"/>
      <c r="D189" s="110"/>
    </row>
    <row r="190" spans="1:4" ht="15">
      <c r="A190" s="109"/>
      <c r="B190" s="110"/>
      <c r="C190" s="110"/>
      <c r="D190" s="110"/>
    </row>
    <row r="191" spans="1:4" ht="15">
      <c r="A191" s="109"/>
      <c r="B191" s="110"/>
      <c r="C191" s="110"/>
      <c r="D191" s="110"/>
    </row>
    <row r="192" spans="1:4" ht="15">
      <c r="A192" s="109"/>
      <c r="B192" s="110"/>
      <c r="C192" s="110"/>
      <c r="D192" s="110"/>
    </row>
    <row r="193" spans="1:4" ht="15">
      <c r="A193" s="109"/>
      <c r="B193" s="110"/>
      <c r="C193" s="110"/>
      <c r="D193" s="110"/>
    </row>
    <row r="194" spans="1:4" ht="15">
      <c r="A194" s="109"/>
      <c r="B194" s="110"/>
      <c r="C194" s="110"/>
      <c r="D194" s="110"/>
    </row>
    <row r="195" spans="1:4" ht="15">
      <c r="A195" s="109"/>
      <c r="B195" s="110"/>
      <c r="C195" s="110"/>
      <c r="D195" s="110"/>
    </row>
    <row r="196" spans="1:4" ht="15">
      <c r="A196" s="109"/>
      <c r="B196" s="110"/>
      <c r="C196" s="110"/>
      <c r="D196" s="110"/>
    </row>
    <row r="197" spans="1:4" ht="15">
      <c r="A197" s="109"/>
      <c r="B197" s="110"/>
      <c r="C197" s="110"/>
      <c r="D197" s="110"/>
    </row>
    <row r="198" spans="1:4" ht="15">
      <c r="A198" s="109"/>
      <c r="B198" s="110"/>
      <c r="C198" s="110"/>
      <c r="D198" s="110"/>
    </row>
    <row r="199" spans="1:4" ht="15">
      <c r="A199" s="109"/>
      <c r="B199" s="110"/>
      <c r="C199" s="110"/>
      <c r="D199" s="110"/>
    </row>
    <row r="200" spans="1:4" ht="15">
      <c r="A200" s="109"/>
      <c r="B200" s="110"/>
      <c r="C200" s="110"/>
      <c r="D200" s="110"/>
    </row>
    <row r="201" spans="1:4" ht="15">
      <c r="A201" s="109"/>
      <c r="B201" s="110"/>
      <c r="C201" s="110"/>
      <c r="D201" s="110"/>
    </row>
    <row r="202" spans="1:4" ht="15">
      <c r="A202" s="109"/>
      <c r="B202" s="110"/>
      <c r="C202" s="110"/>
      <c r="D202" s="110"/>
    </row>
    <row r="203" spans="1:4" ht="15">
      <c r="A203" s="109"/>
      <c r="B203" s="110"/>
      <c r="C203" s="110"/>
      <c r="D203" s="110"/>
    </row>
    <row r="204" spans="1:4" ht="15">
      <c r="A204" s="109"/>
      <c r="B204" s="110"/>
      <c r="C204" s="110"/>
      <c r="D204" s="110"/>
    </row>
    <row r="205" spans="1:4" ht="15">
      <c r="A205" s="109"/>
      <c r="B205" s="110"/>
      <c r="C205" s="110"/>
      <c r="D205" s="110"/>
    </row>
    <row r="206" spans="1:4" ht="15">
      <c r="A206" s="109"/>
      <c r="B206" s="110"/>
      <c r="C206" s="110"/>
      <c r="D206" s="110"/>
    </row>
    <row r="207" spans="1:4" ht="15">
      <c r="A207" s="109"/>
      <c r="B207" s="110"/>
      <c r="C207" s="110"/>
      <c r="D207" s="110"/>
    </row>
    <row r="208" spans="1:4" ht="15">
      <c r="A208" s="109"/>
      <c r="B208" s="110"/>
      <c r="C208" s="110"/>
      <c r="D208" s="110"/>
    </row>
    <row r="209" spans="1:4" ht="15">
      <c r="A209" s="109"/>
      <c r="B209" s="110"/>
      <c r="C209" s="110"/>
      <c r="D209" s="110"/>
    </row>
    <row r="210" spans="1:4" ht="15">
      <c r="A210" s="109"/>
      <c r="B210" s="110"/>
      <c r="C210" s="110"/>
      <c r="D210" s="110"/>
    </row>
    <row r="211" spans="1:4" ht="15">
      <c r="A211" s="109"/>
      <c r="B211" s="110"/>
      <c r="C211" s="110"/>
      <c r="D211" s="110"/>
    </row>
    <row r="212" spans="1:4" ht="15">
      <c r="A212" s="109"/>
      <c r="B212" s="110"/>
      <c r="C212" s="110"/>
      <c r="D212" s="110"/>
    </row>
    <row r="213" spans="1:4" ht="15">
      <c r="A213" s="109"/>
      <c r="B213" s="110"/>
      <c r="C213" s="110"/>
      <c r="D213" s="110"/>
    </row>
    <row r="214" spans="1:4" ht="15">
      <c r="A214" s="109"/>
      <c r="B214" s="110"/>
      <c r="C214" s="110"/>
      <c r="D214" s="110"/>
    </row>
    <row r="215" spans="1:4" ht="15">
      <c r="A215" s="109"/>
      <c r="B215" s="110"/>
      <c r="C215" s="110"/>
      <c r="D215" s="110"/>
    </row>
    <row r="216" spans="1:4" ht="15">
      <c r="A216" s="109"/>
      <c r="B216" s="110"/>
      <c r="C216" s="110"/>
      <c r="D216" s="110"/>
    </row>
    <row r="217" spans="1:4" ht="15">
      <c r="A217" s="109"/>
      <c r="B217" s="110"/>
      <c r="C217" s="110"/>
      <c r="D217" s="110"/>
    </row>
    <row r="218" spans="1:4" ht="15">
      <c r="A218" s="109"/>
      <c r="B218" s="110"/>
      <c r="C218" s="110"/>
      <c r="D218" s="110"/>
    </row>
    <row r="219" spans="1:4" ht="15">
      <c r="A219" s="109"/>
      <c r="B219" s="110"/>
      <c r="C219" s="110"/>
      <c r="D219" s="110"/>
    </row>
    <row r="220" spans="1:4" ht="15">
      <c r="A220" s="109"/>
      <c r="B220" s="110"/>
      <c r="C220" s="110"/>
      <c r="D220" s="110"/>
    </row>
    <row r="221" spans="1:4" ht="15">
      <c r="A221" s="109"/>
      <c r="B221" s="110"/>
      <c r="C221" s="110"/>
      <c r="D221" s="110"/>
    </row>
    <row r="222" spans="1:4" ht="15">
      <c r="A222" s="109"/>
      <c r="B222" s="110"/>
      <c r="C222" s="110"/>
      <c r="D222" s="110"/>
    </row>
    <row r="223" spans="1:4" ht="15">
      <c r="A223" s="109"/>
      <c r="B223" s="110"/>
      <c r="C223" s="110"/>
      <c r="D223" s="110"/>
    </row>
    <row r="224" spans="1:4" ht="15">
      <c r="A224" s="109"/>
      <c r="B224" s="110"/>
      <c r="C224" s="110"/>
      <c r="D224" s="110"/>
    </row>
    <row r="225" spans="1:4" ht="15">
      <c r="A225" s="109"/>
      <c r="B225" s="110"/>
      <c r="C225" s="110"/>
      <c r="D225" s="110"/>
    </row>
    <row r="226" spans="1:4" ht="15">
      <c r="A226" s="109"/>
      <c r="B226" s="110"/>
      <c r="C226" s="110"/>
      <c r="D226" s="110"/>
    </row>
    <row r="227" spans="1:4" ht="15">
      <c r="A227" s="109"/>
      <c r="B227" s="110"/>
      <c r="C227" s="110"/>
      <c r="D227" s="110"/>
    </row>
    <row r="228" spans="1:4" ht="15">
      <c r="A228" s="109"/>
      <c r="B228" s="110"/>
      <c r="C228" s="110"/>
      <c r="D228" s="110"/>
    </row>
    <row r="229" spans="1:4" ht="15">
      <c r="A229" s="109"/>
      <c r="B229" s="110"/>
      <c r="C229" s="110"/>
      <c r="D229" s="110"/>
    </row>
    <row r="230" spans="1:4" ht="12.75">
      <c r="A230" s="30"/>
      <c r="B230" s="30"/>
      <c r="C230" s="30"/>
      <c r="D230" s="30"/>
    </row>
    <row r="231" spans="1:4" ht="15.75">
      <c r="A231" s="53"/>
      <c r="B231" s="30"/>
      <c r="C231" s="30"/>
      <c r="D231" s="30"/>
    </row>
    <row r="232" spans="1:4" ht="12.75">
      <c r="A232" s="164"/>
      <c r="B232" s="116"/>
      <c r="C232" s="116"/>
      <c r="D232" s="116"/>
    </row>
    <row r="233" spans="1:4" ht="15">
      <c r="A233" s="109"/>
      <c r="B233" s="110"/>
      <c r="C233" s="110"/>
      <c r="D233" s="110"/>
    </row>
    <row r="234" spans="1:4" ht="15">
      <c r="A234" s="109"/>
      <c r="B234" s="110"/>
      <c r="C234" s="110"/>
      <c r="D234" s="110"/>
    </row>
    <row r="235" spans="1:4" ht="15">
      <c r="A235" s="109"/>
      <c r="B235" s="110"/>
      <c r="C235" s="110"/>
      <c r="D235" s="110"/>
    </row>
    <row r="236" spans="1:4" ht="15">
      <c r="A236" s="109"/>
      <c r="B236" s="110"/>
      <c r="C236" s="110"/>
      <c r="D236" s="110"/>
    </row>
    <row r="237" spans="1:4" ht="15">
      <c r="A237" s="109"/>
      <c r="B237" s="110"/>
      <c r="C237" s="110"/>
      <c r="D237" s="110"/>
    </row>
    <row r="238" spans="1:4" ht="15">
      <c r="A238" s="109"/>
      <c r="B238" s="110"/>
      <c r="C238" s="110"/>
      <c r="D238" s="110"/>
    </row>
    <row r="239" spans="1:4" ht="15">
      <c r="A239" s="109"/>
      <c r="B239" s="110"/>
      <c r="C239" s="110"/>
      <c r="D239" s="110"/>
    </row>
    <row r="240" spans="1:4" ht="12.75">
      <c r="A240" s="30"/>
      <c r="B240" s="30"/>
      <c r="C240" s="30"/>
      <c r="D240" s="30"/>
    </row>
    <row r="241" spans="1:4" ht="15.75">
      <c r="A241" s="53"/>
      <c r="B241" s="30"/>
      <c r="C241" s="30"/>
      <c r="D241" s="30"/>
    </row>
    <row r="242" spans="1:4" ht="12.75">
      <c r="A242" s="164"/>
      <c r="B242" s="116"/>
      <c r="C242" s="116"/>
      <c r="D242" s="116"/>
    </row>
    <row r="243" spans="1:4" ht="15">
      <c r="A243" s="109"/>
      <c r="B243" s="110"/>
      <c r="C243" s="110"/>
      <c r="D243" s="110"/>
    </row>
    <row r="244" spans="1:4" ht="15">
      <c r="A244" s="109"/>
      <c r="B244" s="110"/>
      <c r="C244" s="110"/>
      <c r="D244" s="110"/>
    </row>
    <row r="245" spans="1:4" ht="15">
      <c r="A245" s="109"/>
      <c r="B245" s="110"/>
      <c r="C245" s="110"/>
      <c r="D245" s="110"/>
    </row>
    <row r="246" spans="1:4" ht="15">
      <c r="A246" s="109"/>
      <c r="B246" s="110"/>
      <c r="C246" s="110"/>
      <c r="D246" s="110"/>
    </row>
    <row r="247" spans="1:4" ht="15">
      <c r="A247" s="109"/>
      <c r="B247" s="110"/>
      <c r="C247" s="110"/>
      <c r="D247" s="110"/>
    </row>
    <row r="248" spans="1:4" ht="15">
      <c r="A248" s="109"/>
      <c r="B248" s="110"/>
      <c r="C248" s="110"/>
      <c r="D248" s="110"/>
    </row>
    <row r="249" spans="1:4" ht="15">
      <c r="A249" s="109"/>
      <c r="B249" s="110"/>
      <c r="C249" s="110"/>
      <c r="D249" s="110"/>
    </row>
    <row r="250" spans="1:4" ht="15">
      <c r="A250" s="109"/>
      <c r="B250" s="110"/>
      <c r="C250" s="110"/>
      <c r="D250" s="110"/>
    </row>
    <row r="251" spans="1:4" ht="15">
      <c r="A251" s="109"/>
      <c r="B251" s="110"/>
      <c r="C251" s="110"/>
      <c r="D251" s="110"/>
    </row>
    <row r="252" spans="1:4" ht="15">
      <c r="A252" s="109"/>
      <c r="B252" s="110"/>
      <c r="C252" s="110"/>
      <c r="D252" s="110"/>
    </row>
    <row r="253" spans="1:4" ht="15">
      <c r="A253" s="109"/>
      <c r="B253" s="110"/>
      <c r="C253" s="110"/>
      <c r="D253" s="110"/>
    </row>
    <row r="254" spans="1:4" ht="15">
      <c r="A254" s="109"/>
      <c r="B254" s="110"/>
      <c r="C254" s="110"/>
      <c r="D254" s="110"/>
    </row>
    <row r="255" spans="1:4" ht="15">
      <c r="A255" s="109"/>
      <c r="B255" s="110"/>
      <c r="C255" s="110"/>
      <c r="D255" s="110"/>
    </row>
    <row r="256" spans="1:4" ht="15">
      <c r="A256" s="109"/>
      <c r="B256" s="110"/>
      <c r="C256" s="110"/>
      <c r="D256" s="110"/>
    </row>
    <row r="257" spans="1:4" ht="15">
      <c r="A257" s="109"/>
      <c r="B257" s="110"/>
      <c r="C257" s="110"/>
      <c r="D257" s="110"/>
    </row>
    <row r="258" spans="1:4" ht="15">
      <c r="A258" s="109"/>
      <c r="B258" s="110"/>
      <c r="C258" s="110"/>
      <c r="D258" s="110"/>
    </row>
    <row r="259" spans="1:4" ht="15">
      <c r="A259" s="109"/>
      <c r="B259" s="110"/>
      <c r="C259" s="110"/>
      <c r="D259" s="110"/>
    </row>
    <row r="260" spans="1:4" ht="15">
      <c r="A260" s="109"/>
      <c r="B260" s="110"/>
      <c r="C260" s="110"/>
      <c r="D260" s="110"/>
    </row>
    <row r="261" spans="1:4" ht="15">
      <c r="A261" s="109"/>
      <c r="B261" s="110"/>
      <c r="C261" s="110"/>
      <c r="D261" s="110"/>
    </row>
    <row r="262" spans="1:4" ht="15">
      <c r="A262" s="109"/>
      <c r="B262" s="110"/>
      <c r="C262" s="110"/>
      <c r="D262" s="110"/>
    </row>
    <row r="263" spans="1:4" ht="15">
      <c r="A263" s="109"/>
      <c r="B263" s="110"/>
      <c r="C263" s="110"/>
      <c r="D263" s="110"/>
    </row>
    <row r="264" spans="1:4" ht="15">
      <c r="A264" s="109"/>
      <c r="B264" s="110"/>
      <c r="C264" s="110"/>
      <c r="D264" s="110"/>
    </row>
    <row r="265" spans="1:4" ht="15">
      <c r="A265" s="109"/>
      <c r="B265" s="110"/>
      <c r="C265" s="110"/>
      <c r="D265" s="110"/>
    </row>
    <row r="266" spans="1:4" ht="15">
      <c r="A266" s="109"/>
      <c r="B266" s="110"/>
      <c r="C266" s="110"/>
      <c r="D266" s="110"/>
    </row>
    <row r="267" spans="1:4" ht="15">
      <c r="A267" s="109"/>
      <c r="B267" s="110"/>
      <c r="C267" s="110"/>
      <c r="D267" s="110"/>
    </row>
    <row r="268" spans="1:4" ht="15">
      <c r="A268" s="109"/>
      <c r="B268" s="110"/>
      <c r="C268" s="110"/>
      <c r="D268" s="110"/>
    </row>
    <row r="269" spans="1:4" ht="15">
      <c r="A269" s="109"/>
      <c r="B269" s="110"/>
      <c r="C269" s="110"/>
      <c r="D269" s="110"/>
    </row>
    <row r="270" spans="1:4" ht="15">
      <c r="A270" s="109"/>
      <c r="B270" s="110"/>
      <c r="C270" s="110"/>
      <c r="D270" s="110"/>
    </row>
    <row r="271" spans="1:4" ht="15">
      <c r="A271" s="109"/>
      <c r="B271" s="110"/>
      <c r="C271" s="110"/>
      <c r="D271" s="110"/>
    </row>
    <row r="272" spans="1:4" ht="15">
      <c r="A272" s="109"/>
      <c r="B272" s="110"/>
      <c r="C272" s="110"/>
      <c r="D272" s="110"/>
    </row>
    <row r="273" spans="1:4" ht="15">
      <c r="A273" s="109"/>
      <c r="B273" s="110"/>
      <c r="C273" s="110"/>
      <c r="D273" s="110"/>
    </row>
    <row r="274" spans="1:4" ht="15">
      <c r="A274" s="109"/>
      <c r="B274" s="110"/>
      <c r="C274" s="110"/>
      <c r="D274" s="110"/>
    </row>
    <row r="275" spans="1:4" ht="15">
      <c r="A275" s="109"/>
      <c r="B275" s="110"/>
      <c r="C275" s="110"/>
      <c r="D275" s="110"/>
    </row>
    <row r="276" spans="1:4" ht="15">
      <c r="A276" s="109"/>
      <c r="B276" s="110"/>
      <c r="C276" s="110"/>
      <c r="D276" s="110"/>
    </row>
    <row r="277" spans="1:4" ht="15">
      <c r="A277" s="109"/>
      <c r="B277" s="110"/>
      <c r="C277" s="110"/>
      <c r="D277" s="110"/>
    </row>
    <row r="278" spans="1:4" ht="15">
      <c r="A278" s="109"/>
      <c r="B278" s="110"/>
      <c r="C278" s="110"/>
      <c r="D278" s="110"/>
    </row>
    <row r="279" spans="1:4" ht="15">
      <c r="A279" s="109"/>
      <c r="B279" s="110"/>
      <c r="C279" s="110"/>
      <c r="D279" s="110"/>
    </row>
    <row r="280" spans="1:4" ht="15">
      <c r="A280" s="109"/>
      <c r="B280" s="110"/>
      <c r="C280" s="110"/>
      <c r="D280" s="110"/>
    </row>
    <row r="281" spans="1:4" ht="15">
      <c r="A281" s="109"/>
      <c r="B281" s="110"/>
      <c r="C281" s="110"/>
      <c r="D281" s="110"/>
    </row>
    <row r="282" spans="1:4" ht="15">
      <c r="A282" s="109"/>
      <c r="B282" s="110"/>
      <c r="C282" s="110"/>
      <c r="D282" s="110"/>
    </row>
    <row r="283" spans="1:4" ht="15">
      <c r="A283" s="109"/>
      <c r="B283" s="110"/>
      <c r="C283" s="110"/>
      <c r="D283" s="110"/>
    </row>
    <row r="284" spans="1:4" ht="15">
      <c r="A284" s="109"/>
      <c r="B284" s="110"/>
      <c r="C284" s="110"/>
      <c r="D284" s="110"/>
    </row>
    <row r="285" spans="1:4" ht="15">
      <c r="A285" s="109"/>
      <c r="B285" s="110"/>
      <c r="C285" s="110"/>
      <c r="D285" s="110"/>
    </row>
    <row r="286" spans="1:4" ht="15">
      <c r="A286" s="109"/>
      <c r="B286" s="110"/>
      <c r="C286" s="110"/>
      <c r="D286" s="110"/>
    </row>
    <row r="287" spans="1:4" ht="15">
      <c r="A287" s="109"/>
      <c r="B287" s="110"/>
      <c r="C287" s="110"/>
      <c r="D287" s="110"/>
    </row>
    <row r="288" spans="1:4" ht="15">
      <c r="A288" s="109"/>
      <c r="B288" s="110"/>
      <c r="C288" s="110"/>
      <c r="D288" s="110"/>
    </row>
    <row r="289" spans="1:4" ht="15">
      <c r="A289" s="109"/>
      <c r="B289" s="110"/>
      <c r="C289" s="110"/>
      <c r="D289" s="110"/>
    </row>
    <row r="290" spans="1:4" ht="15">
      <c r="A290" s="109"/>
      <c r="B290" s="110"/>
      <c r="C290" s="110"/>
      <c r="D290" s="110"/>
    </row>
    <row r="291" spans="1:4" ht="15">
      <c r="A291" s="109"/>
      <c r="B291" s="110"/>
      <c r="C291" s="110"/>
      <c r="D291" s="110"/>
    </row>
    <row r="292" spans="1:4" ht="15">
      <c r="A292" s="109"/>
      <c r="B292" s="110"/>
      <c r="C292" s="110"/>
      <c r="D292" s="110"/>
    </row>
    <row r="293" spans="1:4" ht="15">
      <c r="A293" s="109"/>
      <c r="B293" s="110"/>
      <c r="C293" s="110"/>
      <c r="D293" s="110"/>
    </row>
    <row r="294" spans="1:4" ht="15">
      <c r="A294" s="109"/>
      <c r="B294" s="110"/>
      <c r="C294" s="110"/>
      <c r="D294" s="110"/>
    </row>
    <row r="295" spans="1:4" ht="15">
      <c r="A295" s="109"/>
      <c r="B295" s="110"/>
      <c r="C295" s="110"/>
      <c r="D295" s="110"/>
    </row>
    <row r="296" spans="1:4" ht="15">
      <c r="A296" s="109"/>
      <c r="B296" s="110"/>
      <c r="C296" s="110"/>
      <c r="D296" s="110"/>
    </row>
    <row r="297" spans="1:4" ht="15">
      <c r="A297" s="109"/>
      <c r="B297" s="110"/>
      <c r="C297" s="110"/>
      <c r="D297" s="110"/>
    </row>
    <row r="298" spans="1:4" ht="15">
      <c r="A298" s="109"/>
      <c r="B298" s="110"/>
      <c r="C298" s="110"/>
      <c r="D298" s="110"/>
    </row>
    <row r="299" spans="1:4" ht="15">
      <c r="A299" s="109"/>
      <c r="B299" s="110"/>
      <c r="C299" s="110"/>
      <c r="D299" s="110"/>
    </row>
    <row r="300" spans="1:4" ht="15">
      <c r="A300" s="109"/>
      <c r="B300" s="110"/>
      <c r="C300" s="110"/>
      <c r="D300" s="110"/>
    </row>
    <row r="301" spans="1:4" ht="15">
      <c r="A301" s="109"/>
      <c r="B301" s="110"/>
      <c r="C301" s="110"/>
      <c r="D301" s="110"/>
    </row>
    <row r="302" spans="1:4" ht="15">
      <c r="A302" s="109"/>
      <c r="B302" s="110"/>
      <c r="C302" s="110"/>
      <c r="D302" s="110"/>
    </row>
    <row r="303" spans="1:4" ht="15">
      <c r="A303" s="109"/>
      <c r="B303" s="110"/>
      <c r="C303" s="110"/>
      <c r="D303" s="110"/>
    </row>
    <row r="304" spans="1:4" ht="15">
      <c r="A304" s="109"/>
      <c r="B304" s="110"/>
      <c r="C304" s="110"/>
      <c r="D304" s="110"/>
    </row>
    <row r="305" spans="1:4" ht="15">
      <c r="A305" s="109"/>
      <c r="B305" s="110"/>
      <c r="C305" s="110"/>
      <c r="D305" s="110"/>
    </row>
    <row r="306" spans="1:4" ht="15">
      <c r="A306" s="109"/>
      <c r="B306" s="110"/>
      <c r="C306" s="110"/>
      <c r="D306" s="110"/>
    </row>
    <row r="307" spans="1:4" ht="12.75">
      <c r="A307" s="30"/>
      <c r="B307" s="30"/>
      <c r="C307" s="30"/>
      <c r="D307" s="30"/>
    </row>
    <row r="308" spans="1:4" ht="15.75">
      <c r="A308" s="53"/>
      <c r="B308" s="30"/>
      <c r="C308" s="30"/>
      <c r="D308" s="30"/>
    </row>
    <row r="309" spans="1:4" ht="12.75">
      <c r="A309" s="113"/>
      <c r="B309" s="52"/>
      <c r="C309" s="52"/>
      <c r="D309" s="52"/>
    </row>
    <row r="310" spans="1:4" ht="15">
      <c r="A310" s="109"/>
      <c r="B310" s="110"/>
      <c r="C310" s="110"/>
      <c r="D310" s="110"/>
    </row>
    <row r="311" spans="1:4" ht="15">
      <c r="A311" s="109"/>
      <c r="B311" s="110"/>
      <c r="C311" s="110"/>
      <c r="D311" s="110"/>
    </row>
    <row r="312" spans="1:4" ht="15">
      <c r="A312" s="109"/>
      <c r="B312" s="110"/>
      <c r="C312" s="110"/>
      <c r="D312" s="110"/>
    </row>
    <row r="313" spans="1:4" ht="15">
      <c r="A313" s="109"/>
      <c r="B313" s="110"/>
      <c r="C313" s="110"/>
      <c r="D313" s="110"/>
    </row>
    <row r="314" spans="1:4" ht="15">
      <c r="A314" s="109"/>
      <c r="B314" s="110"/>
      <c r="C314" s="110"/>
      <c r="D314" s="110"/>
    </row>
    <row r="315" spans="1:4" ht="15">
      <c r="A315" s="109"/>
      <c r="B315" s="110"/>
      <c r="C315" s="110"/>
      <c r="D315" s="110"/>
    </row>
    <row r="316" spans="1:4" ht="15">
      <c r="A316" s="109"/>
      <c r="B316" s="110"/>
      <c r="C316" s="110"/>
      <c r="D316" s="110"/>
    </row>
    <row r="317" spans="1:4" ht="12.75">
      <c r="A317" s="30"/>
      <c r="B317" s="30"/>
      <c r="C317" s="30"/>
      <c r="D317" s="30"/>
    </row>
    <row r="318" spans="1:4" ht="15.75">
      <c r="A318" s="53"/>
      <c r="B318" s="30"/>
      <c r="C318" s="30"/>
      <c r="D318" s="30"/>
    </row>
    <row r="319" spans="1:4" ht="12.75">
      <c r="A319" s="113"/>
      <c r="B319" s="52"/>
      <c r="C319" s="52"/>
      <c r="D319" s="52"/>
    </row>
    <row r="320" spans="1:4" ht="15">
      <c r="A320" s="109"/>
      <c r="B320" s="30"/>
      <c r="C320" s="30"/>
      <c r="D320" s="30"/>
    </row>
    <row r="321" spans="1:4" ht="15">
      <c r="A321" s="109"/>
      <c r="B321" s="30"/>
      <c r="C321" s="30"/>
      <c r="D321" s="30"/>
    </row>
    <row r="322" spans="1:4" ht="15">
      <c r="A322" s="109"/>
      <c r="B322" s="30"/>
      <c r="C322" s="30"/>
      <c r="D322" s="30"/>
    </row>
    <row r="323" spans="1:4" ht="15">
      <c r="A323" s="109"/>
      <c r="B323" s="30"/>
      <c r="C323" s="30"/>
      <c r="D323" s="30"/>
    </row>
    <row r="324" spans="1:4" ht="15">
      <c r="A324" s="109"/>
      <c r="B324" s="30"/>
      <c r="C324" s="30"/>
      <c r="D324" s="30"/>
    </row>
    <row r="325" spans="1:4" ht="15">
      <c r="A325" s="109"/>
      <c r="B325" s="30"/>
      <c r="C325" s="30"/>
      <c r="D325" s="30"/>
    </row>
    <row r="326" spans="1:4" ht="15">
      <c r="A326" s="109"/>
      <c r="B326" s="30"/>
      <c r="C326" s="30"/>
      <c r="D326" s="30"/>
    </row>
    <row r="327" spans="1:4" ht="12.75">
      <c r="A327" s="30"/>
      <c r="B327" s="30"/>
      <c r="C327" s="30"/>
      <c r="D327" s="30"/>
    </row>
    <row r="328" spans="1:4" ht="15.75">
      <c r="A328" s="53"/>
      <c r="B328" s="30"/>
      <c r="C328" s="30"/>
      <c r="D328" s="30"/>
    </row>
    <row r="329" spans="1:4" ht="12.75">
      <c r="A329" s="113"/>
      <c r="B329" s="52"/>
      <c r="C329" s="52"/>
      <c r="D329" s="52"/>
    </row>
    <row r="330" spans="1:4" ht="12.75">
      <c r="A330" s="30"/>
      <c r="B330" s="30"/>
      <c r="C330" s="30"/>
      <c r="D330" s="30"/>
    </row>
    <row r="331" spans="1:4" ht="12.75">
      <c r="A331" s="30"/>
      <c r="B331" s="30"/>
      <c r="C331" s="30"/>
      <c r="D331" s="30"/>
    </row>
    <row r="332" spans="1:4" ht="12.75">
      <c r="A332" s="30"/>
      <c r="B332" s="30"/>
      <c r="C332" s="30"/>
      <c r="D332" s="30"/>
    </row>
    <row r="333" spans="1:4" ht="12.75">
      <c r="A333" s="30"/>
      <c r="B333" s="30"/>
      <c r="C333" s="30"/>
      <c r="D333" s="30"/>
    </row>
    <row r="334" spans="1:4" ht="12.75">
      <c r="A334" s="30"/>
      <c r="B334" s="30"/>
      <c r="C334" s="30"/>
      <c r="D334" s="30"/>
    </row>
    <row r="335" spans="1:4" ht="15">
      <c r="A335" s="109"/>
      <c r="B335" s="30"/>
      <c r="C335" s="30"/>
      <c r="D335" s="30"/>
    </row>
    <row r="336" spans="1:4" ht="12.75">
      <c r="A336" s="30"/>
      <c r="B336" s="30"/>
      <c r="C336" s="30"/>
      <c r="D336" s="30"/>
    </row>
    <row r="337" spans="1:4" ht="15.75">
      <c r="A337" s="53"/>
      <c r="B337" s="30"/>
      <c r="C337" s="30"/>
      <c r="D337" s="30"/>
    </row>
    <row r="338" spans="1:4" ht="12.75">
      <c r="A338" s="113"/>
      <c r="B338" s="52"/>
      <c r="C338" s="52"/>
      <c r="D338" s="52"/>
    </row>
    <row r="339" spans="1:4" ht="12.75">
      <c r="A339" s="30"/>
      <c r="B339" s="30"/>
      <c r="C339" s="30"/>
      <c r="D339" s="30"/>
    </row>
    <row r="340" spans="1:4" ht="15">
      <c r="A340" s="109"/>
      <c r="B340" s="30"/>
      <c r="C340" s="30"/>
      <c r="D340" s="30"/>
    </row>
    <row r="341" spans="1:4" ht="15">
      <c r="A341" s="109"/>
      <c r="B341" s="30"/>
      <c r="C341" s="30"/>
      <c r="D341" s="30"/>
    </row>
    <row r="342" spans="1:4" ht="15">
      <c r="A342" s="109"/>
      <c r="B342" s="30"/>
      <c r="C342" s="30"/>
      <c r="D342" s="30"/>
    </row>
    <row r="343" spans="1:4" ht="15">
      <c r="A343" s="109"/>
      <c r="B343" s="30"/>
      <c r="C343" s="30"/>
      <c r="D343" s="30"/>
    </row>
    <row r="344" spans="1:4" ht="15">
      <c r="A344" s="109"/>
      <c r="B344" s="30"/>
      <c r="C344" s="30"/>
      <c r="D344" s="30"/>
    </row>
    <row r="345" spans="1:4" ht="15">
      <c r="A345" s="109"/>
      <c r="B345" s="30"/>
      <c r="C345" s="30"/>
      <c r="D345" s="30"/>
    </row>
    <row r="346" spans="1:4" ht="12.75">
      <c r="A346" s="30"/>
      <c r="B346" s="30"/>
      <c r="C346" s="30"/>
      <c r="D346" s="30"/>
    </row>
    <row r="347" spans="1:4" ht="12.75">
      <c r="A347" s="30"/>
      <c r="B347" s="30"/>
      <c r="C347" s="30"/>
      <c r="D347" s="30"/>
    </row>
    <row r="348" spans="1:4" ht="12.75">
      <c r="A348" s="30"/>
      <c r="B348" s="30"/>
      <c r="C348" s="30"/>
      <c r="D348" s="30"/>
    </row>
    <row r="349" spans="1:4" ht="12.75">
      <c r="A349" s="30"/>
      <c r="B349" s="30"/>
      <c r="C349" s="30"/>
      <c r="D349" s="30"/>
    </row>
    <row r="350" spans="1:4" ht="12.75">
      <c r="A350" s="30"/>
      <c r="B350" s="30"/>
      <c r="C350" s="30"/>
      <c r="D350" s="30"/>
    </row>
    <row r="351" spans="1:4" ht="12.75">
      <c r="A351" s="30"/>
      <c r="B351" s="30"/>
      <c r="C351" s="30"/>
      <c r="D351" s="30"/>
    </row>
    <row r="352" spans="1:4" ht="12.75">
      <c r="A352" s="30"/>
      <c r="B352" s="30"/>
      <c r="C352" s="30"/>
      <c r="D352" s="30"/>
    </row>
    <row r="353" spans="1:4" ht="12.75">
      <c r="A353" s="30"/>
      <c r="B353" s="30"/>
      <c r="C353" s="30"/>
      <c r="D353" s="30"/>
    </row>
    <row r="354" spans="1:4" ht="12.75">
      <c r="A354" s="30"/>
      <c r="B354" s="30"/>
      <c r="C354" s="30"/>
      <c r="D354" s="30"/>
    </row>
    <row r="355" spans="1:4" ht="12.75">
      <c r="A355" s="30"/>
      <c r="B355" s="30"/>
      <c r="C355" s="30"/>
      <c r="D355" s="30"/>
    </row>
    <row r="356" spans="1:4" ht="12.75">
      <c r="A356" s="30"/>
      <c r="B356" s="30"/>
      <c r="C356" s="30"/>
      <c r="D356" s="30"/>
    </row>
    <row r="357" spans="1:4" ht="12.75">
      <c r="A357" s="30"/>
      <c r="B357" s="30"/>
      <c r="C357" s="30"/>
      <c r="D357" s="30"/>
    </row>
    <row r="358" spans="1:4" ht="12.75">
      <c r="A358" s="30"/>
      <c r="B358" s="30"/>
      <c r="C358" s="30"/>
      <c r="D358" s="30"/>
    </row>
    <row r="359" spans="1:4" ht="12.75">
      <c r="A359" s="30"/>
      <c r="B359" s="30"/>
      <c r="C359" s="30"/>
      <c r="D359" s="30"/>
    </row>
    <row r="360" spans="1:4" ht="12.75">
      <c r="A360" s="30"/>
      <c r="B360" s="30"/>
      <c r="C360" s="30"/>
      <c r="D360" s="30"/>
    </row>
    <row r="361" spans="1:4" ht="12.75">
      <c r="A361" s="30"/>
      <c r="B361" s="30"/>
      <c r="C361" s="30"/>
      <c r="D361" s="30"/>
    </row>
    <row r="362" spans="1:4" ht="12.75">
      <c r="A362" s="30"/>
      <c r="B362" s="30"/>
      <c r="C362" s="30"/>
      <c r="D362" s="30"/>
    </row>
    <row r="363" spans="1:4" ht="12.75">
      <c r="A363" s="30"/>
      <c r="B363" s="30"/>
      <c r="C363" s="30"/>
      <c r="D363" s="30"/>
    </row>
    <row r="364" spans="1:4" ht="12.75">
      <c r="A364" s="30"/>
      <c r="B364" s="30"/>
      <c r="C364" s="30"/>
      <c r="D364" s="30"/>
    </row>
    <row r="365" spans="1:4" ht="12.75">
      <c r="A365" s="30"/>
      <c r="B365" s="30"/>
      <c r="C365" s="30"/>
      <c r="D365" s="30"/>
    </row>
    <row r="366" spans="1:4" ht="12.75">
      <c r="A366" s="30"/>
      <c r="B366" s="30"/>
      <c r="C366" s="30"/>
      <c r="D366" s="30"/>
    </row>
    <row r="367" spans="1:4" ht="12.75">
      <c r="A367" s="30"/>
      <c r="B367" s="30"/>
      <c r="C367" s="30"/>
      <c r="D367" s="30"/>
    </row>
    <row r="368" spans="1:4" ht="12.75">
      <c r="A368" s="30"/>
      <c r="B368" s="30"/>
      <c r="C368" s="30"/>
      <c r="D368" s="30"/>
    </row>
    <row r="369" spans="1:4" ht="12.75">
      <c r="A369" s="30"/>
      <c r="B369" s="30"/>
      <c r="C369" s="30"/>
      <c r="D369" s="30"/>
    </row>
    <row r="370" spans="1:4" ht="12.75">
      <c r="A370" s="30"/>
      <c r="B370" s="30"/>
      <c r="C370" s="30"/>
      <c r="D370" s="30"/>
    </row>
    <row r="371" spans="1:4" ht="12.75">
      <c r="A371" s="30"/>
      <c r="B371" s="30"/>
      <c r="C371" s="30"/>
      <c r="D371" s="30"/>
    </row>
    <row r="372" spans="1:4" ht="12.75">
      <c r="A372" s="30"/>
      <c r="B372" s="30"/>
      <c r="C372" s="30"/>
      <c r="D372" s="30"/>
    </row>
    <row r="373" spans="1:4" ht="12.75">
      <c r="A373" s="30"/>
      <c r="B373" s="30"/>
      <c r="C373" s="30"/>
      <c r="D373" s="30"/>
    </row>
    <row r="374" spans="1:4" ht="12.75">
      <c r="A374" s="30"/>
      <c r="B374" s="30"/>
      <c r="C374" s="30"/>
      <c r="D374" s="30"/>
    </row>
    <row r="375" spans="1:4" ht="12.75">
      <c r="A375" s="30"/>
      <c r="B375" s="30"/>
      <c r="C375" s="30"/>
      <c r="D375" s="30"/>
    </row>
    <row r="376" spans="1:4" ht="12.75">
      <c r="A376" s="30"/>
      <c r="B376" s="30"/>
      <c r="C376" s="30"/>
      <c r="D376" s="30"/>
    </row>
    <row r="377" spans="1:4" ht="12.75">
      <c r="A377" s="30"/>
      <c r="B377" s="30"/>
      <c r="C377" s="30"/>
      <c r="D377" s="30"/>
    </row>
    <row r="378" spans="1:4" ht="12.75">
      <c r="A378" s="30"/>
      <c r="B378" s="30"/>
      <c r="C378" s="30"/>
      <c r="D378" s="30"/>
    </row>
    <row r="379" spans="1:4" ht="12.75">
      <c r="A379" s="30"/>
      <c r="B379" s="30"/>
      <c r="C379" s="30"/>
      <c r="D379" s="30"/>
    </row>
    <row r="380" spans="1:4" ht="12.75">
      <c r="A380" s="30"/>
      <c r="B380" s="30"/>
      <c r="C380" s="30"/>
      <c r="D380" s="30"/>
    </row>
    <row r="381" spans="1:4" ht="12.75">
      <c r="A381" s="30"/>
      <c r="B381" s="30"/>
      <c r="C381" s="30"/>
      <c r="D381" s="30"/>
    </row>
    <row r="382" spans="1:4" ht="12.75">
      <c r="A382" s="30"/>
      <c r="B382" s="30"/>
      <c r="C382" s="30"/>
      <c r="D382" s="30"/>
    </row>
    <row r="383" spans="1:4" ht="12.75">
      <c r="A383" s="30"/>
      <c r="B383" s="30"/>
      <c r="C383" s="30"/>
      <c r="D383" s="30"/>
    </row>
    <row r="384" spans="1:4" ht="12.75">
      <c r="A384" s="30"/>
      <c r="B384" s="30"/>
      <c r="C384" s="30"/>
      <c r="D384" s="30"/>
    </row>
    <row r="385" spans="1:4" ht="12.75">
      <c r="A385" s="30"/>
      <c r="B385" s="30"/>
      <c r="C385" s="30"/>
      <c r="D385" s="30"/>
    </row>
    <row r="386" spans="1:4" ht="12.75">
      <c r="A386" s="30"/>
      <c r="B386" s="30"/>
      <c r="C386" s="30"/>
      <c r="D386" s="30"/>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rowBreaks count="3" manualBreakCount="3">
    <brk id="66" max="255" man="1"/>
    <brk id="162" max="255" man="1"/>
    <brk id="239" max="255" man="1"/>
  </rowBreaks>
</worksheet>
</file>

<file path=xl/worksheets/sheet11.xml><?xml version="1.0" encoding="utf-8"?>
<worksheet xmlns="http://schemas.openxmlformats.org/spreadsheetml/2006/main" xmlns:r="http://schemas.openxmlformats.org/officeDocument/2006/relationships">
  <dimension ref="A1:R65"/>
  <sheetViews>
    <sheetView zoomScale="65" zoomScaleNormal="65" workbookViewId="0" topLeftCell="A1">
      <selection activeCell="A1" sqref="A1"/>
    </sheetView>
  </sheetViews>
  <sheetFormatPr defaultColWidth="9.00390625" defaultRowHeight="12.75"/>
  <cols>
    <col min="1" max="1" width="28.125" style="0" customWidth="1"/>
    <col min="2" max="2" width="17.875" style="0" customWidth="1"/>
    <col min="3" max="3" width="20.375" style="0" customWidth="1"/>
    <col min="4" max="4" width="16.00390625" style="0" customWidth="1"/>
    <col min="5" max="5" width="19.75390625" style="0" customWidth="1"/>
    <col min="6" max="6" width="16.00390625" style="0" customWidth="1"/>
    <col min="7" max="7" width="26.75390625" style="6" customWidth="1"/>
    <col min="8" max="8" width="14.75390625" style="0" customWidth="1"/>
    <col min="9" max="9" width="26.75390625" style="0" customWidth="1"/>
    <col min="10" max="10" width="22.625" style="0" customWidth="1"/>
    <col min="11" max="11" width="13.75390625" style="0" customWidth="1"/>
    <col min="12" max="12" width="20.375" style="0" customWidth="1"/>
    <col min="13" max="13" width="21.125" style="0" customWidth="1"/>
  </cols>
  <sheetData>
    <row r="1" spans="1:15" ht="16.5" thickBot="1">
      <c r="A1" s="105" t="s">
        <v>688</v>
      </c>
      <c r="B1" s="99"/>
      <c r="C1" s="99"/>
      <c r="D1" s="99"/>
      <c r="E1" s="99"/>
      <c r="F1" s="99"/>
      <c r="G1" s="99"/>
      <c r="H1" s="99"/>
      <c r="I1" s="99"/>
      <c r="J1" s="99"/>
      <c r="K1" s="30"/>
      <c r="L1" s="30"/>
      <c r="M1" s="30"/>
      <c r="N1" s="30"/>
      <c r="O1" s="30"/>
    </row>
    <row r="2" spans="1:15" ht="15">
      <c r="A2" s="118" t="s">
        <v>792</v>
      </c>
      <c r="B2" s="120"/>
      <c r="C2" s="120"/>
      <c r="D2" s="120"/>
      <c r="E2" s="120"/>
      <c r="F2" s="120"/>
      <c r="G2" s="120"/>
      <c r="H2" s="188"/>
      <c r="I2" s="120"/>
      <c r="J2" s="121"/>
      <c r="K2" s="30"/>
      <c r="L2" s="30"/>
      <c r="M2" s="30"/>
      <c r="N2" s="30"/>
      <c r="O2" s="30"/>
    </row>
    <row r="3" spans="1:15" ht="33.75" customHeight="1">
      <c r="A3" s="189" t="s">
        <v>793</v>
      </c>
      <c r="B3" s="190" t="s">
        <v>794</v>
      </c>
      <c r="C3" s="191" t="s">
        <v>903</v>
      </c>
      <c r="D3" s="192"/>
      <c r="E3" s="204" t="s">
        <v>904</v>
      </c>
      <c r="F3" s="135" t="s">
        <v>905</v>
      </c>
      <c r="G3" s="193" t="s">
        <v>786</v>
      </c>
      <c r="H3" s="205" t="s">
        <v>797</v>
      </c>
      <c r="I3" s="194" t="s">
        <v>798</v>
      </c>
      <c r="J3" s="195" t="s">
        <v>791</v>
      </c>
      <c r="K3" s="30"/>
      <c r="L3" s="30"/>
      <c r="M3" s="30"/>
      <c r="N3" s="30"/>
      <c r="O3" s="30"/>
    </row>
    <row r="4" spans="1:15" ht="15">
      <c r="A4" s="196"/>
      <c r="B4" s="197"/>
      <c r="C4" s="119" t="s">
        <v>795</v>
      </c>
      <c r="D4" s="119" t="s">
        <v>796</v>
      </c>
      <c r="E4" s="119" t="s">
        <v>795</v>
      </c>
      <c r="F4" s="119" t="s">
        <v>796</v>
      </c>
      <c r="G4" s="198"/>
      <c r="H4" s="151"/>
      <c r="I4" s="151"/>
      <c r="J4" s="199"/>
      <c r="K4" s="30"/>
      <c r="L4" s="30"/>
      <c r="M4" s="30"/>
      <c r="N4" s="30"/>
      <c r="O4" s="30"/>
    </row>
    <row r="5" spans="1:15" ht="14.25">
      <c r="A5" s="95"/>
      <c r="B5" s="200"/>
      <c r="C5" s="107"/>
      <c r="D5" s="107"/>
      <c r="E5" s="107"/>
      <c r="F5" s="107"/>
      <c r="G5" s="201"/>
      <c r="H5" s="107"/>
      <c r="I5" s="107"/>
      <c r="J5" s="103"/>
      <c r="K5" s="30"/>
      <c r="L5" s="30"/>
      <c r="M5" s="30"/>
      <c r="N5" s="30"/>
      <c r="O5" s="30"/>
    </row>
    <row r="6" spans="1:15" ht="14.25">
      <c r="A6" s="95"/>
      <c r="B6" s="200"/>
      <c r="C6" s="107"/>
      <c r="D6" s="107"/>
      <c r="E6" s="107"/>
      <c r="F6" s="107"/>
      <c r="G6" s="201"/>
      <c r="H6" s="107"/>
      <c r="I6" s="107"/>
      <c r="J6" s="103"/>
      <c r="K6" s="30"/>
      <c r="L6" s="30"/>
      <c r="M6" s="30"/>
      <c r="N6" s="30"/>
      <c r="O6" s="30"/>
    </row>
    <row r="7" spans="1:15" ht="14.25">
      <c r="A7" s="95"/>
      <c r="B7" s="200"/>
      <c r="C7" s="107"/>
      <c r="D7" s="107"/>
      <c r="E7" s="107"/>
      <c r="F7" s="107"/>
      <c r="G7" s="201"/>
      <c r="H7" s="107"/>
      <c r="I7" s="107"/>
      <c r="J7" s="103"/>
      <c r="K7" s="30"/>
      <c r="L7" s="30"/>
      <c r="M7" s="30"/>
      <c r="N7" s="30"/>
      <c r="O7" s="30"/>
    </row>
    <row r="8" spans="1:15" ht="15" thickBot="1">
      <c r="A8" s="101"/>
      <c r="B8" s="202"/>
      <c r="C8" s="108"/>
      <c r="D8" s="108"/>
      <c r="E8" s="108"/>
      <c r="F8" s="108"/>
      <c r="G8" s="203"/>
      <c r="H8" s="108"/>
      <c r="I8" s="108"/>
      <c r="J8" s="104"/>
      <c r="K8" s="30"/>
      <c r="L8" s="30"/>
      <c r="M8" s="30"/>
      <c r="N8" s="30"/>
      <c r="O8" s="30"/>
    </row>
    <row r="9" spans="1:15" ht="15.75">
      <c r="A9" s="53"/>
      <c r="B9" s="30"/>
      <c r="C9" s="30"/>
      <c r="D9" s="30"/>
      <c r="E9" s="30"/>
      <c r="F9" s="30"/>
      <c r="G9" s="54"/>
      <c r="H9" s="30"/>
      <c r="I9" s="30"/>
      <c r="J9" s="30"/>
      <c r="K9" s="30"/>
      <c r="L9" s="30"/>
      <c r="M9" s="30"/>
      <c r="N9" s="30"/>
      <c r="O9" s="30"/>
    </row>
    <row r="10" spans="1:15" ht="12.75">
      <c r="A10" s="114"/>
      <c r="B10" s="30"/>
      <c r="C10" s="30"/>
      <c r="D10" s="30"/>
      <c r="E10" s="30"/>
      <c r="F10" s="30"/>
      <c r="G10" s="54"/>
      <c r="H10" s="30"/>
      <c r="I10" s="30"/>
      <c r="J10" s="30"/>
      <c r="K10" s="30"/>
      <c r="L10" s="30"/>
      <c r="M10" s="30"/>
      <c r="N10" s="30"/>
      <c r="O10" s="30"/>
    </row>
    <row r="11" spans="1:15" ht="12.75">
      <c r="A11" s="30"/>
      <c r="B11" s="30"/>
      <c r="C11" s="30"/>
      <c r="D11" s="30"/>
      <c r="E11" s="30"/>
      <c r="F11" s="30"/>
      <c r="G11" s="54"/>
      <c r="H11" s="30"/>
      <c r="I11" s="30"/>
      <c r="J11" s="30"/>
      <c r="K11" s="30"/>
      <c r="L11" s="30"/>
      <c r="M11" s="30"/>
      <c r="N11" s="30"/>
      <c r="O11" s="30"/>
    </row>
    <row r="12" spans="1:15" ht="12.75">
      <c r="A12" s="161"/>
      <c r="B12" s="30"/>
      <c r="C12" s="30"/>
      <c r="D12" s="30"/>
      <c r="E12" s="30"/>
      <c r="F12" s="30"/>
      <c r="G12" s="54"/>
      <c r="H12" s="30"/>
      <c r="I12" s="30"/>
      <c r="J12" s="30"/>
      <c r="K12" s="30"/>
      <c r="L12" s="30"/>
      <c r="M12" s="30"/>
      <c r="N12" s="30"/>
      <c r="O12" s="30"/>
    </row>
    <row r="13" spans="1:15" ht="12.75">
      <c r="A13" s="161"/>
      <c r="B13" s="30"/>
      <c r="C13" s="30"/>
      <c r="D13" s="30"/>
      <c r="E13" s="30"/>
      <c r="F13" s="30"/>
      <c r="G13" s="54"/>
      <c r="H13" s="30"/>
      <c r="I13" s="30"/>
      <c r="J13" s="30"/>
      <c r="K13" s="30"/>
      <c r="L13" s="30"/>
      <c r="M13" s="30"/>
      <c r="N13" s="30"/>
      <c r="O13" s="30"/>
    </row>
    <row r="14" spans="1:15" ht="12.75">
      <c r="A14" s="161"/>
      <c r="B14" s="30"/>
      <c r="C14" s="30"/>
      <c r="D14" s="30"/>
      <c r="E14" s="30"/>
      <c r="F14" s="30"/>
      <c r="G14" s="54"/>
      <c r="H14" s="30"/>
      <c r="I14" s="30"/>
      <c r="J14" s="30"/>
      <c r="K14" s="30"/>
      <c r="L14" s="30"/>
      <c r="M14" s="30"/>
      <c r="N14" s="30"/>
      <c r="O14" s="30"/>
    </row>
    <row r="15" spans="1:15" ht="12.75">
      <c r="A15" s="161"/>
      <c r="B15" s="30"/>
      <c r="C15" s="30"/>
      <c r="D15" s="30"/>
      <c r="E15" s="30"/>
      <c r="F15" s="30"/>
      <c r="G15" s="54"/>
      <c r="H15" s="30"/>
      <c r="I15" s="30"/>
      <c r="J15" s="30"/>
      <c r="K15" s="30"/>
      <c r="L15" s="30"/>
      <c r="M15" s="30"/>
      <c r="N15" s="30"/>
      <c r="O15" s="30"/>
    </row>
    <row r="16" spans="1:15" ht="12.75">
      <c r="A16" s="161"/>
      <c r="B16" s="31"/>
      <c r="C16" s="31"/>
      <c r="D16" s="31"/>
      <c r="E16" s="57"/>
      <c r="F16" s="57"/>
      <c r="G16" s="58"/>
      <c r="H16" s="59"/>
      <c r="I16" s="60"/>
      <c r="J16" s="30"/>
      <c r="K16" s="30"/>
      <c r="L16" s="31"/>
      <c r="M16" s="31"/>
      <c r="N16" s="30"/>
      <c r="O16" s="30"/>
    </row>
    <row r="17" spans="1:15" ht="12.75">
      <c r="A17" s="161"/>
      <c r="B17" s="30"/>
      <c r="C17" s="30"/>
      <c r="D17" s="52"/>
      <c r="E17" s="52"/>
      <c r="F17" s="52"/>
      <c r="G17" s="52"/>
      <c r="H17" s="52"/>
      <c r="I17" s="52"/>
      <c r="J17" s="52"/>
      <c r="K17" s="52"/>
      <c r="L17" s="31"/>
      <c r="M17" s="31"/>
      <c r="N17" s="30"/>
      <c r="O17" s="30"/>
    </row>
    <row r="18" spans="1:15" ht="12.75">
      <c r="A18" s="30"/>
      <c r="B18" s="30"/>
      <c r="C18" s="30"/>
      <c r="D18" s="30"/>
      <c r="E18" s="30"/>
      <c r="F18" s="30"/>
      <c r="G18" s="54"/>
      <c r="H18" s="30"/>
      <c r="I18" s="30"/>
      <c r="J18" s="30"/>
      <c r="K18" s="30"/>
      <c r="L18" s="30"/>
      <c r="M18" s="30"/>
      <c r="N18" s="30"/>
      <c r="O18" s="30"/>
    </row>
    <row r="19" spans="1:15" ht="12.75">
      <c r="A19" s="30"/>
      <c r="B19" s="30"/>
      <c r="C19" s="30"/>
      <c r="D19" s="30"/>
      <c r="E19" s="30"/>
      <c r="F19" s="30"/>
      <c r="G19" s="54"/>
      <c r="H19" s="30"/>
      <c r="I19" s="30"/>
      <c r="J19" s="30"/>
      <c r="K19" s="30"/>
      <c r="L19" s="30"/>
      <c r="M19" s="30"/>
      <c r="N19" s="30"/>
      <c r="O19" s="30"/>
    </row>
    <row r="20" spans="1:15" ht="12.75">
      <c r="A20" s="30"/>
      <c r="B20" s="30"/>
      <c r="C20" s="30"/>
      <c r="D20" s="30"/>
      <c r="E20" s="30"/>
      <c r="F20" s="30"/>
      <c r="G20" s="54"/>
      <c r="H20" s="30"/>
      <c r="I20" s="30"/>
      <c r="J20" s="30"/>
      <c r="K20" s="30"/>
      <c r="L20" s="30"/>
      <c r="M20" s="30"/>
      <c r="N20" s="30"/>
      <c r="O20" s="30"/>
    </row>
    <row r="21" spans="1:15" ht="12.75">
      <c r="A21" s="30"/>
      <c r="B21" s="30"/>
      <c r="C21" s="30"/>
      <c r="D21" s="30"/>
      <c r="E21" s="30"/>
      <c r="F21" s="30"/>
      <c r="G21" s="54"/>
      <c r="H21" s="30"/>
      <c r="I21" s="30"/>
      <c r="J21" s="30"/>
      <c r="K21" s="30"/>
      <c r="L21" s="30"/>
      <c r="M21" s="30"/>
      <c r="N21" s="30"/>
      <c r="O21" s="30"/>
    </row>
    <row r="22" spans="1:15" ht="12.75">
      <c r="A22" s="30"/>
      <c r="B22" s="30"/>
      <c r="C22" s="30"/>
      <c r="D22" s="30"/>
      <c r="E22" s="30"/>
      <c r="F22" s="30"/>
      <c r="G22" s="54"/>
      <c r="H22" s="30"/>
      <c r="I22" s="30"/>
      <c r="J22" s="30"/>
      <c r="K22" s="30"/>
      <c r="L22" s="30"/>
      <c r="M22" s="30"/>
      <c r="N22" s="30"/>
      <c r="O22" s="30"/>
    </row>
    <row r="23" spans="1:15" ht="12.75">
      <c r="A23" s="30"/>
      <c r="B23" s="30"/>
      <c r="C23" s="30"/>
      <c r="D23" s="30"/>
      <c r="E23" s="30"/>
      <c r="F23" s="30"/>
      <c r="G23" s="54"/>
      <c r="H23" s="30"/>
      <c r="I23" s="30"/>
      <c r="J23" s="30"/>
      <c r="K23" s="30"/>
      <c r="L23" s="30"/>
      <c r="M23" s="30"/>
      <c r="N23" s="30"/>
      <c r="O23" s="30"/>
    </row>
    <row r="24" spans="1:15" ht="12.75">
      <c r="A24" s="30"/>
      <c r="B24" s="30"/>
      <c r="C24" s="30"/>
      <c r="D24" s="30"/>
      <c r="E24" s="30"/>
      <c r="F24" s="30"/>
      <c r="G24" s="54"/>
      <c r="H24" s="30"/>
      <c r="I24" s="30"/>
      <c r="J24" s="30"/>
      <c r="K24" s="30"/>
      <c r="L24" s="30"/>
      <c r="M24" s="30"/>
      <c r="N24" s="30"/>
      <c r="O24" s="30"/>
    </row>
    <row r="25" spans="1:15" ht="12.75">
      <c r="A25" s="30"/>
      <c r="B25" s="30"/>
      <c r="C25" s="30"/>
      <c r="D25" s="30"/>
      <c r="E25" s="30"/>
      <c r="F25" s="30"/>
      <c r="G25" s="54"/>
      <c r="H25" s="30"/>
      <c r="I25" s="30"/>
      <c r="J25" s="30"/>
      <c r="K25" s="30"/>
      <c r="L25" s="30"/>
      <c r="M25" s="30"/>
      <c r="N25" s="30"/>
      <c r="O25" s="30"/>
    </row>
    <row r="26" spans="1:15" ht="15.75">
      <c r="A26" s="53"/>
      <c r="B26" s="30"/>
      <c r="C26" s="30"/>
      <c r="D26" s="30"/>
      <c r="E26" s="30"/>
      <c r="F26" s="30"/>
      <c r="G26" s="54"/>
      <c r="H26" s="30"/>
      <c r="I26" s="30"/>
      <c r="J26" s="30"/>
      <c r="K26" s="30"/>
      <c r="L26" s="30"/>
      <c r="M26" s="30"/>
      <c r="N26" s="30"/>
      <c r="O26" s="30"/>
    </row>
    <row r="27" spans="1:15" ht="12.75">
      <c r="A27" s="30"/>
      <c r="B27" s="30"/>
      <c r="C27" s="30"/>
      <c r="D27" s="30"/>
      <c r="E27" s="30"/>
      <c r="F27" s="30"/>
      <c r="G27" s="54"/>
      <c r="H27" s="30"/>
      <c r="I27" s="30"/>
      <c r="J27" s="30"/>
      <c r="K27" s="30"/>
      <c r="L27" s="30"/>
      <c r="M27" s="30"/>
      <c r="N27" s="30"/>
      <c r="O27" s="30"/>
    </row>
    <row r="28" spans="1:15" ht="12.75">
      <c r="A28" s="55"/>
      <c r="B28" s="30"/>
      <c r="C28" s="30"/>
      <c r="D28" s="30"/>
      <c r="E28" s="30"/>
      <c r="F28" s="30"/>
      <c r="G28" s="54"/>
      <c r="H28" s="30"/>
      <c r="I28" s="30"/>
      <c r="J28" s="30"/>
      <c r="K28" s="30"/>
      <c r="L28" s="30"/>
      <c r="M28" s="30"/>
      <c r="N28" s="30"/>
      <c r="O28" s="30"/>
    </row>
    <row r="29" spans="1:18" ht="12.75">
      <c r="A29" s="61"/>
      <c r="B29" s="61"/>
      <c r="C29" s="61"/>
      <c r="D29" s="61"/>
      <c r="E29" s="61"/>
      <c r="F29" s="61"/>
      <c r="G29" s="52"/>
      <c r="H29" s="61"/>
      <c r="I29" s="61"/>
      <c r="J29" s="61"/>
      <c r="K29" s="61"/>
      <c r="L29" s="61"/>
      <c r="M29" s="61"/>
      <c r="N29" s="61"/>
      <c r="O29" s="61"/>
      <c r="P29" s="22"/>
      <c r="Q29" s="22"/>
      <c r="R29" s="22"/>
    </row>
    <row r="30" spans="1:15" ht="12.75">
      <c r="A30" s="56"/>
      <c r="B30" s="62"/>
      <c r="C30" s="57"/>
      <c r="D30" s="57"/>
      <c r="E30" s="31"/>
      <c r="F30" s="31"/>
      <c r="G30" s="31"/>
      <c r="H30" s="31"/>
      <c r="I30" s="31"/>
      <c r="J30" s="31"/>
      <c r="K30" s="30"/>
      <c r="L30" s="30"/>
      <c r="M30" s="30"/>
      <c r="N30" s="30"/>
      <c r="O30" s="30"/>
    </row>
    <row r="31" spans="1:15" ht="12.75">
      <c r="A31" s="30"/>
      <c r="B31" s="30"/>
      <c r="C31" s="30"/>
      <c r="D31" s="30"/>
      <c r="E31" s="30"/>
      <c r="F31" s="30"/>
      <c r="G31" s="54"/>
      <c r="H31" s="30"/>
      <c r="I31" s="30"/>
      <c r="J31" s="30"/>
      <c r="K31" s="30"/>
      <c r="L31" s="30"/>
      <c r="M31" s="30"/>
      <c r="N31" s="30"/>
      <c r="O31" s="30"/>
    </row>
    <row r="32" spans="1:15" ht="12.75">
      <c r="A32" s="30"/>
      <c r="B32" s="30"/>
      <c r="C32" s="30"/>
      <c r="D32" s="30"/>
      <c r="E32" s="30"/>
      <c r="F32" s="30"/>
      <c r="G32" s="54"/>
      <c r="H32" s="30"/>
      <c r="I32" s="30"/>
      <c r="J32" s="30"/>
      <c r="K32" s="30"/>
      <c r="L32" s="30"/>
      <c r="M32" s="30"/>
      <c r="N32" s="30"/>
      <c r="O32" s="30"/>
    </row>
    <row r="33" spans="1:15" ht="12.75">
      <c r="A33" s="30"/>
      <c r="B33" s="30"/>
      <c r="C33" s="30"/>
      <c r="D33" s="30"/>
      <c r="E33" s="30"/>
      <c r="F33" s="30"/>
      <c r="G33" s="54"/>
      <c r="H33" s="30"/>
      <c r="I33" s="30"/>
      <c r="J33" s="30"/>
      <c r="K33" s="30"/>
      <c r="L33" s="30"/>
      <c r="M33" s="30"/>
      <c r="N33" s="30"/>
      <c r="O33" s="30"/>
    </row>
    <row r="34" spans="1:15" ht="12.75">
      <c r="A34" s="30"/>
      <c r="B34" s="30"/>
      <c r="C34" s="30"/>
      <c r="D34" s="30"/>
      <c r="E34" s="30"/>
      <c r="F34" s="30"/>
      <c r="G34" s="54"/>
      <c r="H34" s="30"/>
      <c r="I34" s="30"/>
      <c r="J34" s="30"/>
      <c r="K34" s="30"/>
      <c r="L34" s="30"/>
      <c r="M34" s="30"/>
      <c r="N34" s="30"/>
      <c r="O34" s="30"/>
    </row>
    <row r="35" spans="1:15" ht="12.75">
      <c r="A35" s="30"/>
      <c r="B35" s="30"/>
      <c r="C35" s="30"/>
      <c r="D35" s="30"/>
      <c r="E35" s="30"/>
      <c r="F35" s="30"/>
      <c r="G35" s="54"/>
      <c r="H35" s="30"/>
      <c r="I35" s="30"/>
      <c r="J35" s="30"/>
      <c r="K35" s="30"/>
      <c r="L35" s="30"/>
      <c r="M35" s="30"/>
      <c r="N35" s="30"/>
      <c r="O35" s="30"/>
    </row>
    <row r="36" spans="1:15" ht="12.75">
      <c r="A36" s="30"/>
      <c r="B36" s="30"/>
      <c r="C36" s="30"/>
      <c r="D36" s="30"/>
      <c r="E36" s="30"/>
      <c r="F36" s="30"/>
      <c r="G36" s="54"/>
      <c r="H36" s="30"/>
      <c r="I36" s="30"/>
      <c r="J36" s="30"/>
      <c r="K36" s="30"/>
      <c r="L36" s="30"/>
      <c r="M36" s="30"/>
      <c r="N36" s="30"/>
      <c r="O36" s="30"/>
    </row>
    <row r="37" spans="1:15" ht="12.75">
      <c r="A37" s="30"/>
      <c r="B37" s="30"/>
      <c r="C37" s="30"/>
      <c r="D37" s="30"/>
      <c r="E37" s="30"/>
      <c r="F37" s="30"/>
      <c r="G37" s="54"/>
      <c r="H37" s="30"/>
      <c r="I37" s="30"/>
      <c r="J37" s="30"/>
      <c r="K37" s="30"/>
      <c r="L37" s="30"/>
      <c r="M37" s="30"/>
      <c r="N37" s="30"/>
      <c r="O37" s="30"/>
    </row>
    <row r="38" spans="1:15" ht="12.75">
      <c r="A38" s="30"/>
      <c r="B38" s="30"/>
      <c r="C38" s="30"/>
      <c r="D38" s="30"/>
      <c r="E38" s="30"/>
      <c r="F38" s="30"/>
      <c r="G38" s="54"/>
      <c r="H38" s="30"/>
      <c r="I38" s="30"/>
      <c r="J38" s="30"/>
      <c r="K38" s="30"/>
      <c r="L38" s="30"/>
      <c r="M38" s="30"/>
      <c r="N38" s="30"/>
      <c r="O38" s="30"/>
    </row>
    <row r="39" spans="1:15" ht="12.75">
      <c r="A39" s="30"/>
      <c r="B39" s="30"/>
      <c r="C39" s="30"/>
      <c r="D39" s="30"/>
      <c r="E39" s="30"/>
      <c r="F39" s="30"/>
      <c r="G39" s="54"/>
      <c r="H39" s="30"/>
      <c r="I39" s="30"/>
      <c r="J39" s="30"/>
      <c r="K39" s="30"/>
      <c r="L39" s="30"/>
      <c r="M39" s="30"/>
      <c r="N39" s="30"/>
      <c r="O39" s="30"/>
    </row>
    <row r="40" spans="1:15" ht="12.75">
      <c r="A40" s="30"/>
      <c r="B40" s="30"/>
      <c r="C40" s="30"/>
      <c r="D40" s="30"/>
      <c r="E40" s="30"/>
      <c r="F40" s="30"/>
      <c r="G40" s="54"/>
      <c r="H40" s="30"/>
      <c r="I40" s="30"/>
      <c r="J40" s="30"/>
      <c r="K40" s="30"/>
      <c r="L40" s="30"/>
      <c r="M40" s="30"/>
      <c r="N40" s="30"/>
      <c r="O40" s="30"/>
    </row>
    <row r="41" spans="1:15" ht="12.75">
      <c r="A41" s="30"/>
      <c r="B41" s="30"/>
      <c r="C41" s="30"/>
      <c r="D41" s="30"/>
      <c r="E41" s="30"/>
      <c r="F41" s="30"/>
      <c r="G41" s="54"/>
      <c r="H41" s="30"/>
      <c r="I41" s="30"/>
      <c r="J41" s="30"/>
      <c r="K41" s="30"/>
      <c r="L41" s="30"/>
      <c r="M41" s="30"/>
      <c r="N41" s="30"/>
      <c r="O41" s="30"/>
    </row>
    <row r="42" spans="1:15" ht="12.75">
      <c r="A42" s="30"/>
      <c r="B42" s="30"/>
      <c r="C42" s="30"/>
      <c r="D42" s="30"/>
      <c r="E42" s="30"/>
      <c r="F42" s="30"/>
      <c r="G42" s="54"/>
      <c r="H42" s="30"/>
      <c r="I42" s="30"/>
      <c r="J42" s="30"/>
      <c r="K42" s="30"/>
      <c r="L42" s="30"/>
      <c r="M42" s="30"/>
      <c r="N42" s="30"/>
      <c r="O42" s="30"/>
    </row>
    <row r="43" spans="1:15" ht="12.75">
      <c r="A43" s="30"/>
      <c r="B43" s="30"/>
      <c r="C43" s="30"/>
      <c r="D43" s="30"/>
      <c r="E43" s="30"/>
      <c r="F43" s="30"/>
      <c r="G43" s="54"/>
      <c r="H43" s="30"/>
      <c r="I43" s="30"/>
      <c r="J43" s="30"/>
      <c r="K43" s="30"/>
      <c r="L43" s="30"/>
      <c r="M43" s="30"/>
      <c r="N43" s="30"/>
      <c r="O43" s="30"/>
    </row>
    <row r="44" spans="1:15" ht="12.75">
      <c r="A44" s="30"/>
      <c r="B44" s="30"/>
      <c r="C44" s="30"/>
      <c r="D44" s="30"/>
      <c r="E44" s="30"/>
      <c r="F44" s="30"/>
      <c r="G44" s="54"/>
      <c r="H44" s="30"/>
      <c r="I44" s="30"/>
      <c r="J44" s="30"/>
      <c r="K44" s="30"/>
      <c r="L44" s="30"/>
      <c r="M44" s="30"/>
      <c r="N44" s="30"/>
      <c r="O44" s="30"/>
    </row>
    <row r="45" spans="1:15" ht="12.75">
      <c r="A45" s="30"/>
      <c r="B45" s="30"/>
      <c r="C45" s="30"/>
      <c r="D45" s="30"/>
      <c r="E45" s="30"/>
      <c r="F45" s="30"/>
      <c r="G45" s="54"/>
      <c r="H45" s="30"/>
      <c r="I45" s="30"/>
      <c r="J45" s="30"/>
      <c r="K45" s="30"/>
      <c r="L45" s="30"/>
      <c r="M45" s="30"/>
      <c r="N45" s="30"/>
      <c r="O45" s="30"/>
    </row>
    <row r="46" spans="1:15" ht="12.75">
      <c r="A46" s="30"/>
      <c r="B46" s="30"/>
      <c r="C46" s="30"/>
      <c r="D46" s="30"/>
      <c r="E46" s="30"/>
      <c r="F46" s="30"/>
      <c r="G46" s="54"/>
      <c r="H46" s="30"/>
      <c r="I46" s="30"/>
      <c r="J46" s="30"/>
      <c r="K46" s="30"/>
      <c r="L46" s="30"/>
      <c r="M46" s="30"/>
      <c r="N46" s="30"/>
      <c r="O46" s="30"/>
    </row>
    <row r="47" spans="1:15" ht="12.75">
      <c r="A47" s="30"/>
      <c r="B47" s="30"/>
      <c r="C47" s="30"/>
      <c r="D47" s="30"/>
      <c r="E47" s="30"/>
      <c r="F47" s="30"/>
      <c r="G47" s="54"/>
      <c r="H47" s="30"/>
      <c r="I47" s="30"/>
      <c r="J47" s="30"/>
      <c r="K47" s="30"/>
      <c r="L47" s="30"/>
      <c r="M47" s="30"/>
      <c r="N47" s="30"/>
      <c r="O47" s="30"/>
    </row>
    <row r="48" spans="1:15" ht="12.75">
      <c r="A48" s="30"/>
      <c r="B48" s="30"/>
      <c r="C48" s="30"/>
      <c r="D48" s="30"/>
      <c r="E48" s="30"/>
      <c r="F48" s="30"/>
      <c r="G48" s="54"/>
      <c r="H48" s="30"/>
      <c r="I48" s="30"/>
      <c r="J48" s="30"/>
      <c r="K48" s="30"/>
      <c r="L48" s="30"/>
      <c r="M48" s="30"/>
      <c r="N48" s="30"/>
      <c r="O48" s="30"/>
    </row>
    <row r="49" spans="1:15" ht="12.75">
      <c r="A49" s="30"/>
      <c r="B49" s="30"/>
      <c r="C49" s="30"/>
      <c r="D49" s="30"/>
      <c r="E49" s="30"/>
      <c r="F49" s="30"/>
      <c r="G49" s="54"/>
      <c r="H49" s="30"/>
      <c r="I49" s="30"/>
      <c r="J49" s="30"/>
      <c r="K49" s="30"/>
      <c r="L49" s="30"/>
      <c r="M49" s="30"/>
      <c r="N49" s="30"/>
      <c r="O49" s="30"/>
    </row>
    <row r="50" spans="1:15" ht="12.75">
      <c r="A50" s="30"/>
      <c r="B50" s="30"/>
      <c r="C50" s="30"/>
      <c r="D50" s="30"/>
      <c r="E50" s="30"/>
      <c r="F50" s="30"/>
      <c r="G50" s="54"/>
      <c r="H50" s="30"/>
      <c r="I50" s="30"/>
      <c r="J50" s="30"/>
      <c r="K50" s="30"/>
      <c r="L50" s="30"/>
      <c r="M50" s="30"/>
      <c r="N50" s="30"/>
      <c r="O50" s="30"/>
    </row>
    <row r="51" spans="1:15" ht="12.75">
      <c r="A51" s="30"/>
      <c r="B51" s="30"/>
      <c r="C51" s="30"/>
      <c r="D51" s="30"/>
      <c r="E51" s="30"/>
      <c r="F51" s="30"/>
      <c r="G51" s="54"/>
      <c r="H51" s="30"/>
      <c r="I51" s="30"/>
      <c r="J51" s="30"/>
      <c r="K51" s="30"/>
      <c r="L51" s="30"/>
      <c r="M51" s="30"/>
      <c r="N51" s="30"/>
      <c r="O51" s="30"/>
    </row>
    <row r="52" spans="1:15" ht="12.75">
      <c r="A52" s="30"/>
      <c r="B52" s="30"/>
      <c r="C52" s="30"/>
      <c r="D52" s="30"/>
      <c r="E52" s="30"/>
      <c r="F52" s="30"/>
      <c r="G52" s="54"/>
      <c r="H52" s="30"/>
      <c r="I52" s="30"/>
      <c r="J52" s="30"/>
      <c r="K52" s="30"/>
      <c r="L52" s="30"/>
      <c r="M52" s="30"/>
      <c r="N52" s="30"/>
      <c r="O52" s="30"/>
    </row>
    <row r="53" spans="1:15" ht="12.75">
      <c r="A53" s="30"/>
      <c r="B53" s="30"/>
      <c r="C53" s="30"/>
      <c r="D53" s="30"/>
      <c r="E53" s="30"/>
      <c r="F53" s="30"/>
      <c r="G53" s="54"/>
      <c r="H53" s="30"/>
      <c r="I53" s="30"/>
      <c r="J53" s="30"/>
      <c r="K53" s="30"/>
      <c r="L53" s="30"/>
      <c r="M53" s="30"/>
      <c r="N53" s="30"/>
      <c r="O53" s="30"/>
    </row>
    <row r="54" spans="1:15" ht="12.75">
      <c r="A54" s="30"/>
      <c r="B54" s="30"/>
      <c r="C54" s="30"/>
      <c r="D54" s="30"/>
      <c r="E54" s="30"/>
      <c r="F54" s="30"/>
      <c r="G54" s="54"/>
      <c r="H54" s="30"/>
      <c r="I54" s="30"/>
      <c r="J54" s="30"/>
      <c r="K54" s="30"/>
      <c r="L54" s="30"/>
      <c r="M54" s="30"/>
      <c r="N54" s="30"/>
      <c r="O54" s="30"/>
    </row>
    <row r="55" spans="1:15" ht="12.75">
      <c r="A55" s="30"/>
      <c r="B55" s="30"/>
      <c r="C55" s="30"/>
      <c r="D55" s="30"/>
      <c r="E55" s="30"/>
      <c r="F55" s="30"/>
      <c r="G55" s="54"/>
      <c r="H55" s="30"/>
      <c r="I55" s="30"/>
      <c r="J55" s="30"/>
      <c r="K55" s="30"/>
      <c r="L55" s="30"/>
      <c r="M55" s="30"/>
      <c r="N55" s="30"/>
      <c r="O55" s="30"/>
    </row>
    <row r="56" spans="1:15" ht="12.75">
      <c r="A56" s="30"/>
      <c r="B56" s="30"/>
      <c r="C56" s="30"/>
      <c r="D56" s="30"/>
      <c r="E56" s="30"/>
      <c r="F56" s="30"/>
      <c r="G56" s="54"/>
      <c r="H56" s="30"/>
      <c r="I56" s="30"/>
      <c r="J56" s="30"/>
      <c r="K56" s="30"/>
      <c r="L56" s="30"/>
      <c r="M56" s="30"/>
      <c r="N56" s="30"/>
      <c r="O56" s="30"/>
    </row>
    <row r="57" spans="1:15" ht="12.75">
      <c r="A57" s="30"/>
      <c r="B57" s="30"/>
      <c r="C57" s="30"/>
      <c r="D57" s="30"/>
      <c r="E57" s="30"/>
      <c r="F57" s="30"/>
      <c r="G57" s="54"/>
      <c r="H57" s="30"/>
      <c r="I57" s="30"/>
      <c r="J57" s="30"/>
      <c r="K57" s="30"/>
      <c r="L57" s="30"/>
      <c r="M57" s="30"/>
      <c r="N57" s="30"/>
      <c r="O57" s="30"/>
    </row>
    <row r="58" spans="1:15" ht="12.75">
      <c r="A58" s="30"/>
      <c r="B58" s="30"/>
      <c r="C58" s="30"/>
      <c r="D58" s="30"/>
      <c r="E58" s="30"/>
      <c r="F58" s="30"/>
      <c r="G58" s="54"/>
      <c r="H58" s="30"/>
      <c r="I58" s="30"/>
      <c r="J58" s="30"/>
      <c r="K58" s="30"/>
      <c r="L58" s="30"/>
      <c r="M58" s="30"/>
      <c r="N58" s="30"/>
      <c r="O58" s="30"/>
    </row>
    <row r="59" spans="1:15" ht="12.75">
      <c r="A59" s="30"/>
      <c r="B59" s="30"/>
      <c r="C59" s="30"/>
      <c r="D59" s="30"/>
      <c r="E59" s="30"/>
      <c r="F59" s="30"/>
      <c r="G59" s="54"/>
      <c r="H59" s="30"/>
      <c r="I59" s="30"/>
      <c r="J59" s="30"/>
      <c r="K59" s="30"/>
      <c r="L59" s="30"/>
      <c r="M59" s="30"/>
      <c r="N59" s="30"/>
      <c r="O59" s="30"/>
    </row>
    <row r="60" spans="1:15" ht="12.75">
      <c r="A60" s="30"/>
      <c r="B60" s="30"/>
      <c r="C60" s="30"/>
      <c r="D60" s="30"/>
      <c r="E60" s="30"/>
      <c r="F60" s="30"/>
      <c r="G60" s="54"/>
      <c r="H60" s="30"/>
      <c r="I60" s="30"/>
      <c r="J60" s="30"/>
      <c r="K60" s="30"/>
      <c r="L60" s="30"/>
      <c r="M60" s="30"/>
      <c r="N60" s="30"/>
      <c r="O60" s="30"/>
    </row>
    <row r="61" spans="1:15" ht="12.75">
      <c r="A61" s="30"/>
      <c r="B61" s="30"/>
      <c r="C61" s="30"/>
      <c r="D61" s="30"/>
      <c r="E61" s="30"/>
      <c r="F61" s="30"/>
      <c r="G61" s="54"/>
      <c r="H61" s="30"/>
      <c r="I61" s="30"/>
      <c r="J61" s="30"/>
      <c r="K61" s="30"/>
      <c r="L61" s="30"/>
      <c r="M61" s="30"/>
      <c r="N61" s="30"/>
      <c r="O61" s="30"/>
    </row>
    <row r="62" spans="1:15" ht="12.75">
      <c r="A62" s="30"/>
      <c r="B62" s="30"/>
      <c r="C62" s="30"/>
      <c r="D62" s="30"/>
      <c r="E62" s="30"/>
      <c r="F62" s="30"/>
      <c r="G62" s="54"/>
      <c r="H62" s="30"/>
      <c r="I62" s="30"/>
      <c r="J62" s="30"/>
      <c r="K62" s="30"/>
      <c r="L62" s="30"/>
      <c r="M62" s="30"/>
      <c r="N62" s="30"/>
      <c r="O62" s="30"/>
    </row>
    <row r="63" spans="1:15" ht="12.75">
      <c r="A63" s="30"/>
      <c r="B63" s="30"/>
      <c r="C63" s="30"/>
      <c r="D63" s="30"/>
      <c r="E63" s="30"/>
      <c r="F63" s="30"/>
      <c r="G63" s="54"/>
      <c r="H63" s="30"/>
      <c r="I63" s="30"/>
      <c r="J63" s="30"/>
      <c r="K63" s="30"/>
      <c r="L63" s="30"/>
      <c r="M63" s="30"/>
      <c r="N63" s="30"/>
      <c r="O63" s="30"/>
    </row>
    <row r="64" spans="1:15" ht="12.75">
      <c r="A64" s="30"/>
      <c r="B64" s="30"/>
      <c r="C64" s="30"/>
      <c r="D64" s="30"/>
      <c r="E64" s="30"/>
      <c r="F64" s="30"/>
      <c r="G64" s="54"/>
      <c r="H64" s="30"/>
      <c r="I64" s="30"/>
      <c r="J64" s="30"/>
      <c r="K64" s="30"/>
      <c r="L64" s="30"/>
      <c r="M64" s="30"/>
      <c r="N64" s="30"/>
      <c r="O64" s="30"/>
    </row>
    <row r="65" spans="1:15" ht="12.75">
      <c r="A65" s="30"/>
      <c r="B65" s="30"/>
      <c r="C65" s="30"/>
      <c r="D65" s="30"/>
      <c r="E65" s="30"/>
      <c r="F65" s="30"/>
      <c r="G65" s="54"/>
      <c r="H65" s="30"/>
      <c r="I65" s="30"/>
      <c r="J65" s="30"/>
      <c r="K65" s="30"/>
      <c r="L65" s="30"/>
      <c r="M65" s="30"/>
      <c r="N65" s="30"/>
      <c r="O65" s="30"/>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worksheet>
</file>

<file path=xl/worksheets/sheet12.xml><?xml version="1.0" encoding="utf-8"?>
<worksheet xmlns="http://schemas.openxmlformats.org/spreadsheetml/2006/main" xmlns:r="http://schemas.openxmlformats.org/officeDocument/2006/relationships">
  <dimension ref="A1:N54"/>
  <sheetViews>
    <sheetView zoomScale="60" zoomScaleNormal="60" workbookViewId="0" topLeftCell="A1">
      <selection activeCell="A2" sqref="A2"/>
    </sheetView>
  </sheetViews>
  <sheetFormatPr defaultColWidth="9.00390625" defaultRowHeight="12.75"/>
  <cols>
    <col min="1" max="1" width="47.625" style="0" customWidth="1"/>
    <col min="2" max="2" width="28.25390625" style="0" customWidth="1"/>
    <col min="3" max="3" width="28.00390625" style="0" customWidth="1"/>
    <col min="4" max="4" width="17.25390625" style="0" customWidth="1"/>
    <col min="5" max="5" width="30.875" style="0" customWidth="1"/>
    <col min="6" max="6" width="21.75390625" style="0" customWidth="1"/>
    <col min="7" max="7" width="22.25390625" style="0" customWidth="1"/>
    <col min="8" max="8" width="25.625" style="0" customWidth="1"/>
  </cols>
  <sheetData>
    <row r="1" spans="1:14" ht="16.5" thickBot="1">
      <c r="A1" s="105" t="s">
        <v>689</v>
      </c>
      <c r="B1" s="99"/>
      <c r="C1" s="99"/>
      <c r="D1" s="99"/>
      <c r="E1" s="99"/>
      <c r="F1" s="99"/>
      <c r="G1" s="99"/>
      <c r="H1" s="99"/>
      <c r="I1" s="30"/>
      <c r="J1" s="30"/>
      <c r="K1" s="30"/>
      <c r="L1" s="30"/>
      <c r="M1" s="30"/>
      <c r="N1" s="30"/>
    </row>
    <row r="2" spans="1:14" ht="15">
      <c r="A2" s="118" t="s">
        <v>559</v>
      </c>
      <c r="B2" s="120"/>
      <c r="C2" s="120"/>
      <c r="D2" s="120"/>
      <c r="E2" s="120"/>
      <c r="F2" s="120"/>
      <c r="G2" s="120"/>
      <c r="H2" s="121"/>
      <c r="I2" s="30"/>
      <c r="J2" s="30"/>
      <c r="K2" s="30"/>
      <c r="L2" s="30"/>
      <c r="M2" s="30"/>
      <c r="N2" s="30"/>
    </row>
    <row r="3" spans="1:14" ht="15">
      <c r="A3" s="130" t="s">
        <v>784</v>
      </c>
      <c r="B3" s="206" t="s">
        <v>785</v>
      </c>
      <c r="C3" s="132" t="s">
        <v>786</v>
      </c>
      <c r="D3" s="132" t="s">
        <v>787</v>
      </c>
      <c r="E3" s="132" t="s">
        <v>788</v>
      </c>
      <c r="F3" s="131" t="s">
        <v>789</v>
      </c>
      <c r="G3" s="131" t="s">
        <v>790</v>
      </c>
      <c r="H3" s="207" t="s">
        <v>791</v>
      </c>
      <c r="I3" s="30"/>
      <c r="J3" s="30"/>
      <c r="K3" s="30"/>
      <c r="L3" s="30"/>
      <c r="M3" s="30"/>
      <c r="N3" s="30"/>
    </row>
    <row r="4" spans="1:14" ht="12.75" customHeight="1">
      <c r="A4" s="65"/>
      <c r="B4" s="10"/>
      <c r="C4" s="4"/>
      <c r="D4" s="4"/>
      <c r="E4" s="4"/>
      <c r="F4" s="4"/>
      <c r="G4" s="4"/>
      <c r="H4" s="12"/>
      <c r="I4" s="30"/>
      <c r="J4" s="30"/>
      <c r="K4" s="30"/>
      <c r="L4" s="30"/>
      <c r="M4" s="30"/>
      <c r="N4" s="30"/>
    </row>
    <row r="5" spans="1:14" ht="12.75" customHeight="1">
      <c r="A5" s="65"/>
      <c r="B5" s="10"/>
      <c r="C5" s="4"/>
      <c r="D5" s="4"/>
      <c r="E5" s="4"/>
      <c r="F5" s="4"/>
      <c r="G5" s="4"/>
      <c r="H5" s="12"/>
      <c r="I5" s="30"/>
      <c r="J5" s="30"/>
      <c r="K5" s="30"/>
      <c r="L5" s="30"/>
      <c r="M5" s="30"/>
      <c r="N5" s="30"/>
    </row>
    <row r="6" spans="1:14" ht="12.75" customHeight="1">
      <c r="A6" s="65"/>
      <c r="B6" s="10"/>
      <c r="C6" s="4"/>
      <c r="D6" s="4"/>
      <c r="E6" s="4"/>
      <c r="F6" s="4"/>
      <c r="G6" s="4"/>
      <c r="H6" s="12"/>
      <c r="I6" s="30"/>
      <c r="J6" s="30"/>
      <c r="K6" s="30"/>
      <c r="L6" s="30"/>
      <c r="M6" s="30"/>
      <c r="N6" s="30"/>
    </row>
    <row r="7" spans="1:14" ht="12.75" customHeight="1">
      <c r="A7" s="65"/>
      <c r="B7" s="10"/>
      <c r="C7" s="4"/>
      <c r="D7" s="4"/>
      <c r="E7" s="4"/>
      <c r="F7" s="4"/>
      <c r="G7" s="4"/>
      <c r="H7" s="12"/>
      <c r="I7" s="30"/>
      <c r="J7" s="30"/>
      <c r="K7" s="30"/>
      <c r="L7" s="30"/>
      <c r="M7" s="30"/>
      <c r="N7" s="30"/>
    </row>
    <row r="8" spans="1:14" ht="12.75" customHeight="1" thickBot="1">
      <c r="A8" s="66"/>
      <c r="B8" s="11"/>
      <c r="C8" s="13"/>
      <c r="D8" s="13"/>
      <c r="E8" s="13"/>
      <c r="F8" s="13"/>
      <c r="G8" s="13"/>
      <c r="H8" s="14"/>
      <c r="I8" s="30"/>
      <c r="J8" s="30"/>
      <c r="K8" s="30"/>
      <c r="L8" s="30"/>
      <c r="M8" s="30"/>
      <c r="N8" s="30"/>
    </row>
    <row r="9" spans="1:14" ht="12.75" customHeight="1">
      <c r="A9" s="182"/>
      <c r="B9" s="183"/>
      <c r="C9" s="183"/>
      <c r="D9" s="182"/>
      <c r="E9" s="183"/>
      <c r="F9" s="183"/>
      <c r="G9" s="182"/>
      <c r="H9" s="183"/>
      <c r="I9" s="30"/>
      <c r="J9" s="30"/>
      <c r="K9" s="30"/>
      <c r="L9" s="30"/>
      <c r="M9" s="30"/>
      <c r="N9" s="30"/>
    </row>
    <row r="10" spans="1:14" ht="12.75">
      <c r="A10" s="184"/>
      <c r="B10" s="184"/>
      <c r="C10" s="184"/>
      <c r="D10" s="184"/>
      <c r="E10" s="184"/>
      <c r="F10" s="184"/>
      <c r="G10" s="184"/>
      <c r="H10" s="184"/>
      <c r="I10" s="30"/>
      <c r="J10" s="30"/>
      <c r="K10" s="30"/>
      <c r="L10" s="30"/>
      <c r="M10" s="30"/>
      <c r="N10" s="30"/>
    </row>
    <row r="11" spans="1:14" ht="12.75">
      <c r="A11" s="30"/>
      <c r="B11" s="30"/>
      <c r="C11" s="30"/>
      <c r="D11" s="184"/>
      <c r="E11" s="184"/>
      <c r="F11" s="184"/>
      <c r="G11" s="184"/>
      <c r="H11" s="184"/>
      <c r="I11" s="30"/>
      <c r="J11" s="30"/>
      <c r="K11" s="30"/>
      <c r="L11" s="30"/>
      <c r="M11" s="30"/>
      <c r="N11" s="30"/>
    </row>
    <row r="12" spans="1:14" ht="12.75">
      <c r="A12" s="30"/>
      <c r="B12" s="30"/>
      <c r="C12" s="30"/>
      <c r="D12" s="30"/>
      <c r="E12" s="185"/>
      <c r="F12" s="185"/>
      <c r="G12" s="185"/>
      <c r="H12" s="185"/>
      <c r="I12" s="30"/>
      <c r="J12" s="30"/>
      <c r="K12" s="30"/>
      <c r="L12" s="30"/>
      <c r="M12" s="30"/>
      <c r="N12" s="30"/>
    </row>
    <row r="13" spans="1:14" ht="12.75">
      <c r="A13" s="30"/>
      <c r="B13" s="30"/>
      <c r="C13" s="30"/>
      <c r="D13" s="30"/>
      <c r="E13" s="30"/>
      <c r="F13" s="30"/>
      <c r="G13" s="30"/>
      <c r="H13" s="30"/>
      <c r="I13" s="30"/>
      <c r="J13" s="30"/>
      <c r="K13" s="30"/>
      <c r="L13" s="30"/>
      <c r="M13" s="30"/>
      <c r="N13" s="30"/>
    </row>
    <row r="14" spans="1:14" ht="12.75">
      <c r="A14" s="30"/>
      <c r="B14" s="30"/>
      <c r="C14" s="30"/>
      <c r="D14" s="30"/>
      <c r="E14" s="30"/>
      <c r="F14" s="30"/>
      <c r="G14" s="30"/>
      <c r="H14" s="30"/>
      <c r="I14" s="30"/>
      <c r="J14" s="30"/>
      <c r="K14" s="30"/>
      <c r="L14" s="30"/>
      <c r="M14" s="30"/>
      <c r="N14" s="30"/>
    </row>
    <row r="15" spans="1:14" ht="12.75">
      <c r="A15" s="162"/>
      <c r="B15" s="162"/>
      <c r="C15" s="162"/>
      <c r="D15" s="162"/>
      <c r="E15" s="162"/>
      <c r="F15" s="162"/>
      <c r="G15" s="162"/>
      <c r="H15" s="162"/>
      <c r="I15" s="30"/>
      <c r="J15" s="30"/>
      <c r="K15" s="30"/>
      <c r="L15" s="30"/>
      <c r="M15" s="30"/>
      <c r="N15" s="30"/>
    </row>
    <row r="16" spans="1:14" ht="12.75">
      <c r="A16" s="162"/>
      <c r="B16" s="162"/>
      <c r="C16" s="162"/>
      <c r="D16" s="162"/>
      <c r="E16" s="162"/>
      <c r="F16" s="162"/>
      <c r="G16" s="162"/>
      <c r="H16" s="162"/>
      <c r="I16" s="30"/>
      <c r="J16" s="30"/>
      <c r="K16" s="30"/>
      <c r="L16" s="30"/>
      <c r="M16" s="30"/>
      <c r="N16" s="30"/>
    </row>
    <row r="17" spans="1:14" ht="12.75">
      <c r="A17" s="162"/>
      <c r="B17" s="162"/>
      <c r="C17" s="162"/>
      <c r="D17" s="162"/>
      <c r="E17" s="162"/>
      <c r="F17" s="162"/>
      <c r="G17" s="162"/>
      <c r="H17" s="162"/>
      <c r="I17" s="30"/>
      <c r="J17" s="30"/>
      <c r="K17" s="30"/>
      <c r="L17" s="30"/>
      <c r="M17" s="30"/>
      <c r="N17" s="30"/>
    </row>
    <row r="18" spans="1:14" ht="12.75">
      <c r="A18" s="162"/>
      <c r="B18" s="162"/>
      <c r="C18" s="162"/>
      <c r="D18" s="162"/>
      <c r="E18" s="162"/>
      <c r="F18" s="162"/>
      <c r="G18" s="162"/>
      <c r="H18" s="162"/>
      <c r="I18" s="30"/>
      <c r="J18" s="30"/>
      <c r="K18" s="30"/>
      <c r="L18" s="30"/>
      <c r="M18" s="30"/>
      <c r="N18" s="30"/>
    </row>
    <row r="19" spans="1:14" ht="12.75">
      <c r="A19" s="162"/>
      <c r="B19" s="162"/>
      <c r="C19" s="162"/>
      <c r="D19" s="162"/>
      <c r="E19" s="162"/>
      <c r="F19" s="162"/>
      <c r="G19" s="162"/>
      <c r="H19" s="162"/>
      <c r="I19" s="30"/>
      <c r="J19" s="30"/>
      <c r="K19" s="30"/>
      <c r="L19" s="30"/>
      <c r="M19" s="30"/>
      <c r="N19" s="30"/>
    </row>
    <row r="20" spans="1:14" ht="12.75">
      <c r="A20" s="162"/>
      <c r="B20" s="162"/>
      <c r="C20" s="162"/>
      <c r="D20" s="162"/>
      <c r="E20" s="162"/>
      <c r="F20" s="162"/>
      <c r="G20" s="162"/>
      <c r="H20" s="162"/>
      <c r="I20" s="30"/>
      <c r="J20" s="30"/>
      <c r="K20" s="30"/>
      <c r="L20" s="30"/>
      <c r="M20" s="30"/>
      <c r="N20" s="30"/>
    </row>
    <row r="21" spans="1:14" ht="13.5" customHeight="1">
      <c r="A21" s="162"/>
      <c r="B21" s="162"/>
      <c r="C21" s="162"/>
      <c r="D21" s="162"/>
      <c r="E21" s="162"/>
      <c r="F21" s="162"/>
      <c r="G21" s="162"/>
      <c r="H21" s="162"/>
      <c r="I21" s="30"/>
      <c r="J21" s="30"/>
      <c r="K21" s="30"/>
      <c r="L21" s="30"/>
      <c r="M21" s="30"/>
      <c r="N21" s="30"/>
    </row>
    <row r="22" spans="1:14" ht="12.75">
      <c r="A22" s="162"/>
      <c r="B22" s="162"/>
      <c r="C22" s="162"/>
      <c r="D22" s="162"/>
      <c r="E22" s="162"/>
      <c r="F22" s="162"/>
      <c r="G22" s="162"/>
      <c r="H22" s="162"/>
      <c r="I22" s="30"/>
      <c r="J22" s="30"/>
      <c r="K22" s="30"/>
      <c r="L22" s="30"/>
      <c r="M22" s="30"/>
      <c r="N22" s="30"/>
    </row>
    <row r="23" spans="1:14" ht="12.75">
      <c r="A23" s="162"/>
      <c r="B23" s="162"/>
      <c r="C23" s="162"/>
      <c r="D23" s="162"/>
      <c r="E23" s="162"/>
      <c r="F23" s="162"/>
      <c r="G23" s="162"/>
      <c r="H23" s="162"/>
      <c r="I23" s="30"/>
      <c r="J23" s="30"/>
      <c r="K23" s="30"/>
      <c r="L23" s="30"/>
      <c r="M23" s="30"/>
      <c r="N23" s="30"/>
    </row>
    <row r="24" spans="1:14" ht="12.75">
      <c r="A24" s="162"/>
      <c r="B24" s="162"/>
      <c r="C24" s="162"/>
      <c r="D24" s="162"/>
      <c r="E24" s="162"/>
      <c r="F24" s="162"/>
      <c r="G24" s="162"/>
      <c r="H24" s="162"/>
      <c r="I24" s="30"/>
      <c r="J24" s="30"/>
      <c r="K24" s="30"/>
      <c r="L24" s="30"/>
      <c r="M24" s="30"/>
      <c r="N24" s="30"/>
    </row>
    <row r="25" spans="1:14" ht="12.75">
      <c r="A25" s="162"/>
      <c r="B25" s="162"/>
      <c r="C25" s="162"/>
      <c r="D25" s="162"/>
      <c r="E25" s="162"/>
      <c r="F25" s="162"/>
      <c r="G25" s="162"/>
      <c r="H25" s="162"/>
      <c r="I25" s="30"/>
      <c r="J25" s="30"/>
      <c r="K25" s="30"/>
      <c r="L25" s="30"/>
      <c r="M25" s="30"/>
      <c r="N25" s="30"/>
    </row>
    <row r="26" spans="1:14" ht="12.75">
      <c r="A26" s="162"/>
      <c r="B26" s="162"/>
      <c r="C26" s="162"/>
      <c r="D26" s="162"/>
      <c r="E26" s="162"/>
      <c r="F26" s="162"/>
      <c r="G26" s="162"/>
      <c r="H26" s="162"/>
      <c r="I26" s="30"/>
      <c r="J26" s="30"/>
      <c r="K26" s="30"/>
      <c r="L26" s="30"/>
      <c r="M26" s="30"/>
      <c r="N26" s="30"/>
    </row>
    <row r="27" spans="1:14" ht="12.75">
      <c r="A27" s="30"/>
      <c r="B27" s="30"/>
      <c r="C27" s="30"/>
      <c r="D27" s="30"/>
      <c r="E27" s="30"/>
      <c r="F27" s="30"/>
      <c r="G27" s="30"/>
      <c r="H27" s="30"/>
      <c r="I27" s="30"/>
      <c r="J27" s="30"/>
      <c r="K27" s="30"/>
      <c r="L27" s="30"/>
      <c r="M27" s="30"/>
      <c r="N27" s="30"/>
    </row>
    <row r="28" spans="1:14" ht="12.75">
      <c r="A28" s="30"/>
      <c r="B28" s="30"/>
      <c r="C28" s="30"/>
      <c r="D28" s="30"/>
      <c r="E28" s="30"/>
      <c r="F28" s="30"/>
      <c r="G28" s="30"/>
      <c r="H28" s="30"/>
      <c r="I28" s="30"/>
      <c r="J28" s="30"/>
      <c r="K28" s="30"/>
      <c r="L28" s="30"/>
      <c r="M28" s="30"/>
      <c r="N28" s="30"/>
    </row>
    <row r="29" spans="1:14" ht="15.75">
      <c r="A29" s="53"/>
      <c r="B29" s="30"/>
      <c r="C29" s="30"/>
      <c r="D29" s="30"/>
      <c r="E29" s="30"/>
      <c r="F29" s="30"/>
      <c r="G29" s="30"/>
      <c r="H29" s="30"/>
      <c r="I29" s="30"/>
      <c r="J29" s="30"/>
      <c r="K29" s="30"/>
      <c r="L29" s="30"/>
      <c r="M29" s="30"/>
      <c r="N29" s="30"/>
    </row>
    <row r="30" spans="1:14" ht="12.75">
      <c r="A30" s="55"/>
      <c r="B30" s="30"/>
      <c r="C30" s="30"/>
      <c r="D30" s="30"/>
      <c r="E30" s="30"/>
      <c r="F30" s="30"/>
      <c r="G30" s="30"/>
      <c r="H30" s="30"/>
      <c r="I30" s="30"/>
      <c r="J30" s="30"/>
      <c r="K30" s="30"/>
      <c r="L30" s="30"/>
      <c r="M30" s="30"/>
      <c r="N30" s="30"/>
    </row>
    <row r="31" spans="1:14" ht="12.75">
      <c r="A31" s="52"/>
      <c r="B31" s="52"/>
      <c r="C31" s="55"/>
      <c r="D31" s="55"/>
      <c r="E31" s="30"/>
      <c r="F31" s="30"/>
      <c r="G31" s="30"/>
      <c r="H31" s="30"/>
      <c r="I31" s="30"/>
      <c r="J31" s="30"/>
      <c r="K31" s="30"/>
      <c r="L31" s="30"/>
      <c r="M31" s="30"/>
      <c r="N31" s="30"/>
    </row>
    <row r="32" spans="1:14" ht="12.75">
      <c r="A32" s="30"/>
      <c r="B32" s="30"/>
      <c r="C32" s="30"/>
      <c r="D32" s="30"/>
      <c r="E32" s="30"/>
      <c r="F32" s="30"/>
      <c r="G32" s="30"/>
      <c r="H32" s="30"/>
      <c r="I32" s="30"/>
      <c r="J32" s="30"/>
      <c r="K32" s="30"/>
      <c r="L32" s="30"/>
      <c r="M32" s="30"/>
      <c r="N32" s="30"/>
    </row>
    <row r="33" spans="1:14" ht="12.75">
      <c r="A33" s="30"/>
      <c r="B33" s="30"/>
      <c r="C33" s="30"/>
      <c r="D33" s="30"/>
      <c r="E33" s="30"/>
      <c r="F33" s="30"/>
      <c r="G33" s="30"/>
      <c r="H33" s="30"/>
      <c r="I33" s="30"/>
      <c r="J33" s="30"/>
      <c r="K33" s="30"/>
      <c r="L33" s="30"/>
      <c r="M33" s="30"/>
      <c r="N33" s="30"/>
    </row>
    <row r="34" spans="1:14" ht="12.75">
      <c r="A34" s="30"/>
      <c r="B34" s="30"/>
      <c r="C34" s="30"/>
      <c r="D34" s="30"/>
      <c r="E34" s="30"/>
      <c r="F34" s="30"/>
      <c r="G34" s="30"/>
      <c r="H34" s="30"/>
      <c r="I34" s="30"/>
      <c r="J34" s="30"/>
      <c r="K34" s="30"/>
      <c r="L34" s="30"/>
      <c r="M34" s="30"/>
      <c r="N34" s="30"/>
    </row>
    <row r="35" spans="1:14" ht="12.75">
      <c r="A35" s="30"/>
      <c r="B35" s="30"/>
      <c r="C35" s="30"/>
      <c r="D35" s="30"/>
      <c r="E35" s="30"/>
      <c r="F35" s="30"/>
      <c r="G35" s="30"/>
      <c r="H35" s="30"/>
      <c r="I35" s="30"/>
      <c r="J35" s="30"/>
      <c r="K35" s="30"/>
      <c r="L35" s="30"/>
      <c r="M35" s="30"/>
      <c r="N35" s="30"/>
    </row>
    <row r="36" spans="1:14" ht="12.75">
      <c r="A36" s="30"/>
      <c r="B36" s="30"/>
      <c r="C36" s="30"/>
      <c r="D36" s="30"/>
      <c r="E36" s="30"/>
      <c r="F36" s="30"/>
      <c r="G36" s="30"/>
      <c r="H36" s="30"/>
      <c r="I36" s="30"/>
      <c r="J36" s="30"/>
      <c r="K36" s="30"/>
      <c r="L36" s="30"/>
      <c r="M36" s="30"/>
      <c r="N36" s="30"/>
    </row>
    <row r="37" spans="1:4" ht="12.75">
      <c r="A37" s="30"/>
      <c r="B37" s="30"/>
      <c r="C37" s="30"/>
      <c r="D37" s="30"/>
    </row>
    <row r="38" spans="1:4" ht="12.75">
      <c r="A38" s="30"/>
      <c r="B38" s="30"/>
      <c r="C38" s="30"/>
      <c r="D38" s="30"/>
    </row>
    <row r="39" spans="1:4" ht="12.75">
      <c r="A39" s="30"/>
      <c r="B39" s="30"/>
      <c r="C39" s="30"/>
      <c r="D39" s="30"/>
    </row>
    <row r="40" spans="1:4" ht="12.75">
      <c r="A40" s="30"/>
      <c r="B40" s="30"/>
      <c r="C40" s="30"/>
      <c r="D40" s="30"/>
    </row>
    <row r="41" spans="1:4" ht="15.75">
      <c r="A41" s="53"/>
      <c r="B41" s="30"/>
      <c r="C41" s="30"/>
      <c r="D41" s="30"/>
    </row>
    <row r="42" spans="1:4" ht="12.75">
      <c r="A42" s="55"/>
      <c r="B42" s="30"/>
      <c r="C42" s="30"/>
      <c r="D42" s="30"/>
    </row>
    <row r="43" spans="1:4" ht="12.75">
      <c r="A43" s="55"/>
      <c r="B43" s="52"/>
      <c r="C43" s="186"/>
      <c r="D43" s="52"/>
    </row>
    <row r="44" spans="1:4" ht="12.75">
      <c r="A44" s="30"/>
      <c r="B44" s="110"/>
      <c r="C44" s="110"/>
      <c r="D44" s="110"/>
    </row>
    <row r="45" spans="1:4" ht="12.75">
      <c r="A45" s="30"/>
      <c r="B45" s="110"/>
      <c r="C45" s="110"/>
      <c r="D45" s="110"/>
    </row>
    <row r="46" spans="1:4" ht="12.75">
      <c r="A46" s="30"/>
      <c r="B46" s="110"/>
      <c r="C46" s="110"/>
      <c r="D46" s="110"/>
    </row>
    <row r="47" spans="1:4" ht="12.75">
      <c r="A47" s="30"/>
      <c r="B47" s="110"/>
      <c r="C47" s="110"/>
      <c r="D47" s="110"/>
    </row>
    <row r="48" spans="1:4" ht="12.75">
      <c r="A48" s="30"/>
      <c r="B48" s="110"/>
      <c r="C48" s="110"/>
      <c r="D48" s="110"/>
    </row>
    <row r="49" spans="1:4" ht="12.75">
      <c r="A49" s="30"/>
      <c r="B49" s="110"/>
      <c r="C49" s="110"/>
      <c r="D49" s="110"/>
    </row>
    <row r="50" spans="1:4" ht="12.75">
      <c r="A50" s="30"/>
      <c r="B50" s="110"/>
      <c r="C50" s="110"/>
      <c r="D50" s="110"/>
    </row>
    <row r="51" spans="1:4" ht="12.75">
      <c r="A51" s="30"/>
      <c r="B51" s="30"/>
      <c r="C51" s="30"/>
      <c r="D51" s="30"/>
    </row>
    <row r="52" spans="1:4" ht="12.75">
      <c r="A52" s="30"/>
      <c r="B52" s="30"/>
      <c r="C52" s="30"/>
      <c r="D52" s="30"/>
    </row>
    <row r="53" spans="1:4" ht="12.75">
      <c r="A53" s="30"/>
      <c r="B53" s="30"/>
      <c r="C53" s="30"/>
      <c r="D53" s="30"/>
    </row>
    <row r="54" spans="1:4" ht="12.75">
      <c r="A54" s="30"/>
      <c r="B54" s="30"/>
      <c r="C54" s="30"/>
      <c r="D54" s="30"/>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210"/>
  <sheetViews>
    <sheetView zoomScale="75" zoomScaleNormal="75" workbookViewId="0" topLeftCell="A1">
      <selection activeCell="A1" sqref="A1"/>
    </sheetView>
  </sheetViews>
  <sheetFormatPr defaultColWidth="9.00390625" defaultRowHeight="12.75"/>
  <cols>
    <col min="1" max="1" width="20.375" style="30" customWidth="1"/>
    <col min="2" max="2" width="11.75390625" style="30" customWidth="1"/>
    <col min="3" max="3" width="15.25390625" style="30" customWidth="1"/>
    <col min="4" max="4" width="17.75390625" style="30" customWidth="1"/>
    <col min="5" max="5" width="16.375" style="30" customWidth="1"/>
    <col min="6" max="6" width="20.75390625" style="30" customWidth="1"/>
    <col min="7" max="7" width="16.625" style="30" customWidth="1"/>
    <col min="8" max="8" width="20.25390625" style="30" customWidth="1"/>
    <col min="9" max="9" width="17.375" style="30" customWidth="1"/>
    <col min="10" max="10" width="14.625" style="30" customWidth="1"/>
    <col min="11" max="11" width="20.00390625" style="30" customWidth="1"/>
    <col min="12" max="12" width="21.25390625" style="30" customWidth="1"/>
    <col min="13" max="16384" width="9.125" style="30" customWidth="1"/>
  </cols>
  <sheetData>
    <row r="1" spans="1:12" ht="16.5" thickBot="1">
      <c r="A1" s="105" t="s">
        <v>690</v>
      </c>
      <c r="B1" s="99"/>
      <c r="C1" s="99"/>
      <c r="D1" s="99"/>
      <c r="E1" s="99"/>
      <c r="F1" s="99"/>
      <c r="G1" s="99"/>
      <c r="H1" s="99"/>
      <c r="I1" s="99"/>
      <c r="J1" s="99"/>
      <c r="K1" s="99"/>
      <c r="L1" s="99"/>
    </row>
    <row r="2" spans="1:12" ht="15">
      <c r="A2" s="118" t="s">
        <v>557</v>
      </c>
      <c r="B2" s="118"/>
      <c r="C2" s="120"/>
      <c r="D2" s="120"/>
      <c r="E2" s="120"/>
      <c r="F2" s="120"/>
      <c r="G2" s="120"/>
      <c r="H2" s="120"/>
      <c r="I2" s="120"/>
      <c r="J2" s="188"/>
      <c r="K2" s="120"/>
      <c r="L2" s="121"/>
    </row>
    <row r="3" spans="1:12" ht="35.25" customHeight="1">
      <c r="A3" s="208" t="s">
        <v>558</v>
      </c>
      <c r="B3" s="209"/>
      <c r="C3" s="190" t="s">
        <v>794</v>
      </c>
      <c r="D3" s="155"/>
      <c r="E3" s="742" t="s">
        <v>438</v>
      </c>
      <c r="F3" s="743"/>
      <c r="G3" s="742" t="s">
        <v>439</v>
      </c>
      <c r="H3" s="743"/>
      <c r="I3" s="193" t="s">
        <v>786</v>
      </c>
      <c r="J3" s="205" t="s">
        <v>797</v>
      </c>
      <c r="K3" s="194" t="s">
        <v>798</v>
      </c>
      <c r="L3" s="195" t="s">
        <v>791</v>
      </c>
    </row>
    <row r="4" spans="1:12" ht="15">
      <c r="A4" s="196"/>
      <c r="B4" s="150"/>
      <c r="C4" s="197"/>
      <c r="D4" s="150"/>
      <c r="E4" s="119" t="s">
        <v>875</v>
      </c>
      <c r="F4" s="119" t="s">
        <v>796</v>
      </c>
      <c r="G4" s="119" t="str">
        <f>E4</f>
        <v>wartość</v>
      </c>
      <c r="H4" s="119" t="s">
        <v>796</v>
      </c>
      <c r="I4" s="198"/>
      <c r="J4" s="151"/>
      <c r="K4" s="151"/>
      <c r="L4" s="199"/>
    </row>
    <row r="5" spans="1:12" ht="48">
      <c r="A5" s="546" t="s">
        <v>1210</v>
      </c>
      <c r="B5" s="547"/>
      <c r="C5" s="548" t="s">
        <v>434</v>
      </c>
      <c r="D5" s="547"/>
      <c r="E5" s="549">
        <v>3105</v>
      </c>
      <c r="F5" s="550" t="s">
        <v>158</v>
      </c>
      <c r="G5" s="551">
        <v>2382</v>
      </c>
      <c r="H5" s="550" t="s">
        <v>158</v>
      </c>
      <c r="I5" s="552" t="s">
        <v>435</v>
      </c>
      <c r="J5" s="550" t="s">
        <v>436</v>
      </c>
      <c r="K5" s="553" t="s">
        <v>437</v>
      </c>
      <c r="L5" s="12"/>
    </row>
    <row r="6" spans="1:12" s="60" customFormat="1" ht="12.75">
      <c r="A6" s="546"/>
      <c r="B6" s="547"/>
      <c r="C6" s="548"/>
      <c r="D6" s="547"/>
      <c r="E6" s="549"/>
      <c r="G6" s="551"/>
      <c r="H6" s="550"/>
      <c r="I6" s="552"/>
      <c r="J6" s="554"/>
      <c r="K6" s="555"/>
      <c r="L6" s="343"/>
    </row>
    <row r="7" spans="1:12" ht="12.75">
      <c r="A7" s="341"/>
      <c r="B7" s="224"/>
      <c r="C7" s="342"/>
      <c r="D7" s="224"/>
      <c r="E7" s="338"/>
      <c r="F7" s="4"/>
      <c r="G7" s="328"/>
      <c r="H7" s="4"/>
      <c r="I7" s="63"/>
      <c r="J7" s="339"/>
      <c r="K7" s="340"/>
      <c r="L7" s="12"/>
    </row>
    <row r="8" spans="1:12" ht="13.5" thickBot="1">
      <c r="A8" s="225"/>
      <c r="B8" s="226"/>
      <c r="C8" s="227"/>
      <c r="D8" s="226"/>
      <c r="E8" s="13"/>
      <c r="F8" s="13"/>
      <c r="G8" s="329"/>
      <c r="H8" s="13"/>
      <c r="I8" s="67"/>
      <c r="J8" s="13"/>
      <c r="K8" s="13"/>
      <c r="L8" s="14"/>
    </row>
    <row r="9" spans="2:4" s="161" customFormat="1" ht="11.25">
      <c r="B9" s="654"/>
      <c r="C9" s="654"/>
      <c r="D9" s="654"/>
    </row>
    <row r="10" ht="12.75">
      <c r="A10" s="655" t="s">
        <v>801</v>
      </c>
    </row>
    <row r="11" ht="12.75">
      <c r="A11" s="655"/>
    </row>
    <row r="12" ht="12.75">
      <c r="A12" s="655"/>
    </row>
    <row r="13" spans="1:9" ht="16.5" thickBot="1">
      <c r="A13" s="656" t="s">
        <v>691</v>
      </c>
      <c r="B13" s="656"/>
      <c r="C13" s="50"/>
      <c r="D13" s="50"/>
      <c r="E13" s="50"/>
      <c r="F13" s="50"/>
      <c r="G13" s="50"/>
      <c r="H13" s="50"/>
      <c r="I13" s="50"/>
    </row>
    <row r="14" spans="1:12" ht="15">
      <c r="A14" s="118" t="s">
        <v>560</v>
      </c>
      <c r="B14" s="118"/>
      <c r="C14" s="120"/>
      <c r="D14" s="120"/>
      <c r="E14" s="120"/>
      <c r="F14" s="120"/>
      <c r="G14" s="120"/>
      <c r="H14" s="120"/>
      <c r="I14" s="121"/>
      <c r="J14" s="64"/>
      <c r="K14" s="64"/>
      <c r="L14" s="64"/>
    </row>
    <row r="15" spans="1:12" ht="45">
      <c r="A15" s="211" t="s">
        <v>334</v>
      </c>
      <c r="B15" s="192" t="s">
        <v>333</v>
      </c>
      <c r="C15" s="212" t="s">
        <v>785</v>
      </c>
      <c r="D15" s="132" t="s">
        <v>786</v>
      </c>
      <c r="E15" s="132" t="s">
        <v>787</v>
      </c>
      <c r="F15" s="132" t="s">
        <v>788</v>
      </c>
      <c r="G15" s="132" t="s">
        <v>789</v>
      </c>
      <c r="H15" s="191" t="s">
        <v>791</v>
      </c>
      <c r="I15" s="210"/>
      <c r="J15" s="64"/>
      <c r="K15" s="64"/>
      <c r="L15" s="64"/>
    </row>
    <row r="16" spans="1:12" ht="12.75">
      <c r="A16" s="348"/>
      <c r="B16" s="345"/>
      <c r="C16" s="344"/>
      <c r="D16" s="508"/>
      <c r="E16" s="352"/>
      <c r="F16" s="4"/>
      <c r="G16" s="4"/>
      <c r="H16" s="220"/>
      <c r="I16" s="221"/>
      <c r="J16" s="64"/>
      <c r="K16" s="64"/>
      <c r="L16" s="64"/>
    </row>
    <row r="17" spans="1:12" ht="12.75">
      <c r="A17" s="348"/>
      <c r="B17" s="345"/>
      <c r="C17" s="344"/>
      <c r="D17" s="508"/>
      <c r="E17" s="352"/>
      <c r="F17" s="4"/>
      <c r="G17" s="4"/>
      <c r="H17" s="220"/>
      <c r="I17" s="221"/>
      <c r="J17" s="64"/>
      <c r="K17" s="64"/>
      <c r="L17" s="64"/>
    </row>
    <row r="18" spans="1:12" ht="12.75">
      <c r="A18" s="348"/>
      <c r="B18" s="345"/>
      <c r="C18" s="344"/>
      <c r="D18" s="508"/>
      <c r="E18" s="352"/>
      <c r="F18" s="4"/>
      <c r="G18" s="4"/>
      <c r="H18" s="220"/>
      <c r="I18" s="221"/>
      <c r="J18" s="64"/>
      <c r="K18" s="64"/>
      <c r="L18" s="64"/>
    </row>
    <row r="19" spans="1:12" ht="12.75">
      <c r="A19" s="349"/>
      <c r="B19" s="345"/>
      <c r="C19" s="351"/>
      <c r="D19" s="508"/>
      <c r="E19" s="352"/>
      <c r="F19" s="4"/>
      <c r="G19" s="4"/>
      <c r="H19" s="220"/>
      <c r="I19" s="221"/>
      <c r="J19" s="64"/>
      <c r="K19" s="64"/>
      <c r="L19" s="64"/>
    </row>
    <row r="20" spans="1:12" ht="13.5" thickBot="1">
      <c r="A20" s="347"/>
      <c r="B20" s="346"/>
      <c r="C20" s="350"/>
      <c r="D20" s="13"/>
      <c r="E20" s="13"/>
      <c r="F20" s="13"/>
      <c r="G20" s="13"/>
      <c r="H20" s="222"/>
      <c r="I20" s="223"/>
      <c r="J20" s="64"/>
      <c r="K20" s="64"/>
      <c r="L20" s="64"/>
    </row>
    <row r="21" spans="1:4" ht="15">
      <c r="A21" s="109"/>
      <c r="B21" s="110"/>
      <c r="C21" s="110"/>
      <c r="D21" s="110"/>
    </row>
    <row r="22" spans="1:4" ht="15">
      <c r="A22" s="109"/>
      <c r="B22" s="110"/>
      <c r="C22" s="110"/>
      <c r="D22" s="110"/>
    </row>
    <row r="24" ht="15.75">
      <c r="A24" s="53"/>
    </row>
    <row r="25" spans="1:4" ht="12.75">
      <c r="A25" s="113"/>
      <c r="B25" s="52"/>
      <c r="C25" s="52"/>
      <c r="D25" s="52"/>
    </row>
    <row r="26" spans="2:4" ht="12.75">
      <c r="B26" s="110"/>
      <c r="C26" s="110"/>
      <c r="D26" s="110"/>
    </row>
    <row r="27" spans="2:4" ht="12.75">
      <c r="B27" s="110"/>
      <c r="C27" s="110"/>
      <c r="D27" s="110"/>
    </row>
    <row r="28" spans="2:4" ht="12.75">
      <c r="B28" s="110"/>
      <c r="C28" s="110"/>
      <c r="D28" s="110"/>
    </row>
    <row r="29" spans="2:4" ht="12.75">
      <c r="B29" s="110"/>
      <c r="C29" s="110"/>
      <c r="D29" s="110"/>
    </row>
    <row r="30" spans="2:4" ht="12.75">
      <c r="B30" s="110"/>
      <c r="C30" s="110"/>
      <c r="D30" s="110"/>
    </row>
    <row r="31" spans="1:4" ht="15">
      <c r="A31" s="109"/>
      <c r="B31" s="110"/>
      <c r="C31" s="110"/>
      <c r="D31" s="110"/>
    </row>
    <row r="33" ht="15.75">
      <c r="A33" s="53"/>
    </row>
    <row r="34" spans="1:4" ht="12.75">
      <c r="A34" s="113"/>
      <c r="B34" s="52"/>
      <c r="C34" s="52"/>
      <c r="D34" s="52"/>
    </row>
    <row r="35" spans="2:4" ht="12.75">
      <c r="B35" s="110"/>
      <c r="C35" s="110"/>
      <c r="D35" s="110"/>
    </row>
    <row r="36" spans="2:4" ht="12.75">
      <c r="B36" s="110"/>
      <c r="C36" s="110"/>
      <c r="D36" s="110"/>
    </row>
    <row r="37" spans="2:4" ht="12.75">
      <c r="B37" s="110"/>
      <c r="C37" s="110"/>
      <c r="D37" s="110"/>
    </row>
    <row r="38" spans="2:4" ht="12.75">
      <c r="B38" s="110"/>
      <c r="C38" s="110"/>
      <c r="D38" s="110"/>
    </row>
    <row r="39" spans="2:4" ht="12.75">
      <c r="B39" s="110"/>
      <c r="C39" s="110"/>
      <c r="D39" s="110"/>
    </row>
    <row r="40" spans="1:4" ht="15">
      <c r="A40" s="109"/>
      <c r="B40" s="110"/>
      <c r="C40" s="110"/>
      <c r="D40" s="110"/>
    </row>
    <row r="42" ht="15.75">
      <c r="A42" s="53"/>
    </row>
    <row r="43" spans="1:4" ht="12.75">
      <c r="A43" s="113"/>
      <c r="B43" s="52"/>
      <c r="C43" s="52"/>
      <c r="D43" s="52"/>
    </row>
    <row r="44" spans="1:4" ht="15">
      <c r="A44" s="109"/>
      <c r="B44" s="110"/>
      <c r="C44" s="110"/>
      <c r="D44" s="110"/>
    </row>
    <row r="45" spans="1:4" ht="15">
      <c r="A45" s="109"/>
      <c r="B45" s="110"/>
      <c r="C45" s="110"/>
      <c r="D45" s="110"/>
    </row>
    <row r="46" spans="1:4" ht="15">
      <c r="A46" s="109"/>
      <c r="B46" s="110"/>
      <c r="C46" s="110"/>
      <c r="D46" s="110"/>
    </row>
    <row r="47" spans="1:4" ht="15">
      <c r="A47" s="109"/>
      <c r="B47" s="110"/>
      <c r="C47" s="110"/>
      <c r="D47" s="110"/>
    </row>
    <row r="48" spans="1:4" ht="15">
      <c r="A48" s="109"/>
      <c r="B48" s="110"/>
      <c r="C48" s="110"/>
      <c r="D48" s="110"/>
    </row>
    <row r="49" spans="1:4" ht="15">
      <c r="A49" s="109"/>
      <c r="B49" s="110"/>
      <c r="C49" s="110"/>
      <c r="D49" s="110"/>
    </row>
    <row r="50" spans="1:4" ht="15">
      <c r="A50" s="109"/>
      <c r="B50" s="110"/>
      <c r="C50" s="110"/>
      <c r="D50" s="110"/>
    </row>
    <row r="51" spans="1:4" ht="15">
      <c r="A51" s="109"/>
      <c r="B51" s="110"/>
      <c r="C51" s="110"/>
      <c r="D51" s="110"/>
    </row>
    <row r="52" spans="1:4" ht="15">
      <c r="A52" s="109"/>
      <c r="B52" s="110"/>
      <c r="C52" s="110"/>
      <c r="D52" s="110"/>
    </row>
    <row r="53" spans="1:4" ht="15">
      <c r="A53" s="109"/>
      <c r="B53" s="110"/>
      <c r="C53" s="110"/>
      <c r="D53" s="110"/>
    </row>
    <row r="54" spans="1:4" ht="15">
      <c r="A54" s="109"/>
      <c r="B54" s="110"/>
      <c r="C54" s="110"/>
      <c r="D54" s="110"/>
    </row>
    <row r="55" spans="1:4" ht="15">
      <c r="A55" s="109"/>
      <c r="B55" s="110"/>
      <c r="C55" s="110"/>
      <c r="D55" s="110"/>
    </row>
    <row r="56" spans="1:4" ht="15">
      <c r="A56" s="112"/>
      <c r="B56" s="110"/>
      <c r="C56" s="110"/>
      <c r="D56" s="110"/>
    </row>
    <row r="57" spans="1:4" ht="15">
      <c r="A57" s="109"/>
      <c r="B57" s="110"/>
      <c r="C57" s="110"/>
      <c r="D57" s="110"/>
    </row>
    <row r="58" spans="1:4" ht="15">
      <c r="A58" s="109"/>
      <c r="B58" s="110"/>
      <c r="C58" s="110"/>
      <c r="D58" s="110"/>
    </row>
    <row r="59" spans="1:4" ht="15">
      <c r="A59" s="112"/>
      <c r="B59" s="110"/>
      <c r="C59" s="110"/>
      <c r="D59" s="110"/>
    </row>
    <row r="60" spans="1:4" ht="15">
      <c r="A60" s="109"/>
      <c r="B60" s="110"/>
      <c r="C60" s="110"/>
      <c r="D60" s="110"/>
    </row>
    <row r="61" spans="1:4" ht="15">
      <c r="A61" s="109"/>
      <c r="B61" s="110"/>
      <c r="C61" s="110"/>
      <c r="D61" s="110"/>
    </row>
    <row r="62" spans="1:4" ht="15">
      <c r="A62" s="109"/>
      <c r="B62" s="110"/>
      <c r="C62" s="110"/>
      <c r="D62" s="110"/>
    </row>
    <row r="63" spans="1:4" ht="15">
      <c r="A63" s="112"/>
      <c r="B63" s="110"/>
      <c r="C63" s="110"/>
      <c r="D63" s="110"/>
    </row>
    <row r="64" spans="1:4" ht="15">
      <c r="A64" s="109"/>
      <c r="B64" s="110"/>
      <c r="C64" s="110"/>
      <c r="D64" s="110"/>
    </row>
    <row r="65" spans="1:4" ht="15">
      <c r="A65" s="109"/>
      <c r="B65" s="110"/>
      <c r="C65" s="110"/>
      <c r="D65" s="110"/>
    </row>
    <row r="66" spans="1:4" ht="15">
      <c r="A66" s="109"/>
      <c r="B66" s="110"/>
      <c r="C66" s="110"/>
      <c r="D66" s="110"/>
    </row>
    <row r="67" spans="1:4" ht="15">
      <c r="A67" s="109"/>
      <c r="B67" s="110"/>
      <c r="C67" s="110"/>
      <c r="D67" s="110"/>
    </row>
    <row r="68" spans="1:4" ht="15">
      <c r="A68" s="109"/>
      <c r="B68" s="110"/>
      <c r="C68" s="110"/>
      <c r="D68" s="110"/>
    </row>
    <row r="69" spans="1:4" ht="15">
      <c r="A69" s="109"/>
      <c r="B69" s="110"/>
      <c r="C69" s="110"/>
      <c r="D69" s="110"/>
    </row>
    <row r="70" spans="1:4" ht="15">
      <c r="A70" s="109"/>
      <c r="B70" s="110"/>
      <c r="C70" s="110"/>
      <c r="D70" s="110"/>
    </row>
    <row r="71" spans="1:4" ht="15">
      <c r="A71" s="109"/>
      <c r="B71" s="110"/>
      <c r="C71" s="110"/>
      <c r="D71" s="110"/>
    </row>
    <row r="73" ht="12.75">
      <c r="A73" s="162"/>
    </row>
    <row r="74" ht="12.75">
      <c r="A74" s="162"/>
    </row>
    <row r="75" ht="6.75" customHeight="1">
      <c r="A75" s="162"/>
    </row>
    <row r="76" ht="12.75">
      <c r="A76" s="162"/>
    </row>
    <row r="77" ht="12.75">
      <c r="A77" s="162"/>
    </row>
    <row r="78" ht="12.75">
      <c r="A78" s="162"/>
    </row>
    <row r="79" ht="12.75">
      <c r="A79" s="162"/>
    </row>
    <row r="80" ht="7.5" customHeight="1">
      <c r="A80" s="162"/>
    </row>
    <row r="81" ht="12.75">
      <c r="A81" s="162"/>
    </row>
    <row r="82" ht="12.75">
      <c r="A82" s="162"/>
    </row>
    <row r="83" ht="12.75">
      <c r="A83" s="162"/>
    </row>
    <row r="84" ht="12.75">
      <c r="A84" s="162"/>
    </row>
    <row r="85" ht="7.5" customHeight="1">
      <c r="A85" s="162"/>
    </row>
    <row r="86" ht="12.75">
      <c r="A86" s="162"/>
    </row>
    <row r="87" ht="12.75">
      <c r="A87" s="162"/>
    </row>
    <row r="88" ht="12.75">
      <c r="A88" s="162"/>
    </row>
    <row r="89" ht="34.5" customHeight="1">
      <c r="A89" s="187"/>
    </row>
    <row r="91" ht="15.75">
      <c r="A91" s="53"/>
    </row>
    <row r="92" spans="1:4" ht="12.75">
      <c r="A92" s="115"/>
      <c r="B92" s="116"/>
      <c r="C92" s="116"/>
      <c r="D92" s="116"/>
    </row>
    <row r="93" spans="1:4" ht="15">
      <c r="A93" s="109"/>
      <c r="B93" s="110"/>
      <c r="C93" s="110"/>
      <c r="D93" s="110"/>
    </row>
    <row r="94" spans="1:4" ht="15">
      <c r="A94" s="109"/>
      <c r="B94" s="110"/>
      <c r="C94" s="110"/>
      <c r="D94" s="110"/>
    </row>
    <row r="95" spans="1:4" ht="15">
      <c r="A95" s="109"/>
      <c r="B95" s="110"/>
      <c r="C95" s="110"/>
      <c r="D95" s="110"/>
    </row>
    <row r="96" spans="1:4" ht="15">
      <c r="A96" s="109"/>
      <c r="B96" s="110"/>
      <c r="C96" s="110"/>
      <c r="D96" s="110"/>
    </row>
    <row r="97" spans="1:4" ht="15">
      <c r="A97" s="109"/>
      <c r="B97" s="110"/>
      <c r="C97" s="110"/>
      <c r="D97" s="110"/>
    </row>
    <row r="98" spans="1:4" ht="15">
      <c r="A98" s="109"/>
      <c r="B98" s="110"/>
      <c r="C98" s="110"/>
      <c r="D98" s="110"/>
    </row>
    <row r="99" spans="1:4" ht="15">
      <c r="A99" s="109"/>
      <c r="B99" s="110"/>
      <c r="C99" s="110"/>
      <c r="D99" s="110"/>
    </row>
    <row r="100" spans="1:4" ht="15">
      <c r="A100" s="109"/>
      <c r="B100" s="110"/>
      <c r="C100" s="110"/>
      <c r="D100" s="110"/>
    </row>
    <row r="101" spans="1:4" ht="15">
      <c r="A101" s="109"/>
      <c r="B101" s="110"/>
      <c r="C101" s="110"/>
      <c r="D101" s="110"/>
    </row>
    <row r="102" spans="1:4" ht="15">
      <c r="A102" s="109"/>
      <c r="B102" s="110"/>
      <c r="C102" s="110"/>
      <c r="D102" s="110"/>
    </row>
    <row r="104" ht="15.75">
      <c r="A104" s="53"/>
    </row>
    <row r="105" spans="1:4" ht="12.75">
      <c r="A105" s="115"/>
      <c r="B105" s="116"/>
      <c r="C105" s="116"/>
      <c r="D105" s="116"/>
    </row>
    <row r="106" spans="1:4" ht="15">
      <c r="A106" s="109"/>
      <c r="B106" s="110"/>
      <c r="C106" s="110"/>
      <c r="D106" s="110"/>
    </row>
    <row r="107" spans="1:4" ht="15">
      <c r="A107" s="109"/>
      <c r="B107" s="110"/>
      <c r="C107" s="110"/>
      <c r="D107" s="110"/>
    </row>
    <row r="108" spans="1:4" ht="15">
      <c r="A108" s="109"/>
      <c r="B108" s="110"/>
      <c r="C108" s="110"/>
      <c r="D108" s="110"/>
    </row>
    <row r="109" spans="1:4" ht="15">
      <c r="A109" s="109"/>
      <c r="B109" s="110"/>
      <c r="C109" s="110"/>
      <c r="D109" s="110"/>
    </row>
    <row r="110" spans="1:4" ht="15">
      <c r="A110" s="109"/>
      <c r="B110" s="110"/>
      <c r="C110" s="110"/>
      <c r="D110" s="110"/>
    </row>
    <row r="111" spans="1:4" ht="15">
      <c r="A111" s="109"/>
      <c r="B111" s="110"/>
      <c r="C111" s="110"/>
      <c r="D111" s="110"/>
    </row>
    <row r="112" spans="1:4" ht="15">
      <c r="A112" s="109"/>
      <c r="B112" s="110"/>
      <c r="C112" s="110"/>
      <c r="D112" s="110"/>
    </row>
    <row r="113" spans="1:4" ht="15">
      <c r="A113" s="109"/>
      <c r="B113" s="110"/>
      <c r="C113" s="110"/>
      <c r="D113" s="110"/>
    </row>
    <row r="114" spans="1:4" ht="15">
      <c r="A114" s="109"/>
      <c r="B114" s="110"/>
      <c r="C114" s="110"/>
      <c r="D114" s="110"/>
    </row>
    <row r="115" spans="1:4" ht="15">
      <c r="A115" s="109"/>
      <c r="B115" s="110"/>
      <c r="C115" s="110"/>
      <c r="D115" s="110"/>
    </row>
    <row r="117" ht="15.75">
      <c r="A117" s="53"/>
    </row>
    <row r="118" spans="1:4" ht="12.75">
      <c r="A118" s="115"/>
      <c r="B118" s="116"/>
      <c r="C118" s="116"/>
      <c r="D118" s="116"/>
    </row>
    <row r="119" spans="1:4" ht="15">
      <c r="A119" s="109"/>
      <c r="B119" s="110"/>
      <c r="C119" s="110"/>
      <c r="D119" s="110"/>
    </row>
    <row r="120" spans="1:4" ht="15">
      <c r="A120" s="109"/>
      <c r="B120" s="110"/>
      <c r="C120" s="110"/>
      <c r="D120" s="110"/>
    </row>
    <row r="121" spans="1:4" ht="15">
      <c r="A121" s="109"/>
      <c r="B121" s="110"/>
      <c r="C121" s="110"/>
      <c r="D121" s="110"/>
    </row>
    <row r="122" spans="1:4" ht="15">
      <c r="A122" s="109"/>
      <c r="B122" s="110"/>
      <c r="C122" s="110"/>
      <c r="D122" s="110"/>
    </row>
    <row r="123" spans="1:4" ht="15">
      <c r="A123" s="109"/>
      <c r="B123" s="110"/>
      <c r="C123" s="110"/>
      <c r="D123" s="110"/>
    </row>
    <row r="124" spans="1:4" ht="15">
      <c r="A124" s="109"/>
      <c r="B124" s="110"/>
      <c r="C124" s="110"/>
      <c r="D124" s="110"/>
    </row>
    <row r="125" spans="1:4" ht="15">
      <c r="A125" s="109"/>
      <c r="B125" s="110"/>
      <c r="C125" s="110"/>
      <c r="D125" s="110"/>
    </row>
    <row r="126" spans="1:4" ht="15">
      <c r="A126" s="109"/>
      <c r="B126" s="110"/>
      <c r="C126" s="110"/>
      <c r="D126" s="110"/>
    </row>
    <row r="127" spans="1:4" ht="15">
      <c r="A127" s="109"/>
      <c r="B127" s="110"/>
      <c r="C127" s="110"/>
      <c r="D127" s="110"/>
    </row>
    <row r="128" spans="1:4" ht="15">
      <c r="A128" s="109"/>
      <c r="B128" s="110"/>
      <c r="C128" s="110"/>
      <c r="D128" s="110"/>
    </row>
    <row r="130" ht="15.75">
      <c r="A130" s="53"/>
    </row>
    <row r="131" spans="1:4" ht="12.75">
      <c r="A131" s="115"/>
      <c r="B131" s="116"/>
      <c r="C131" s="116"/>
      <c r="D131" s="116"/>
    </row>
    <row r="132" ht="15">
      <c r="A132" s="109"/>
    </row>
    <row r="133" ht="15">
      <c r="A133" s="109"/>
    </row>
    <row r="134" ht="15">
      <c r="A134" s="109"/>
    </row>
    <row r="135" ht="15">
      <c r="A135" s="109"/>
    </row>
    <row r="136" ht="15">
      <c r="A136" s="109"/>
    </row>
    <row r="137" ht="15">
      <c r="A137" s="109"/>
    </row>
    <row r="138" ht="15">
      <c r="A138" s="109"/>
    </row>
    <row r="139" ht="15">
      <c r="A139" s="109"/>
    </row>
    <row r="140" ht="15">
      <c r="A140" s="109"/>
    </row>
    <row r="141" ht="15">
      <c r="A141" s="109"/>
    </row>
    <row r="143" ht="15.75">
      <c r="A143" s="53"/>
    </row>
    <row r="144" spans="1:4" ht="12.75">
      <c r="A144" s="115"/>
      <c r="B144" s="116"/>
      <c r="C144" s="116"/>
      <c r="D144" s="116"/>
    </row>
    <row r="145" spans="1:4" ht="15">
      <c r="A145" s="109"/>
      <c r="B145" s="110"/>
      <c r="C145" s="110"/>
      <c r="D145" s="110"/>
    </row>
    <row r="146" spans="1:4" ht="15">
      <c r="A146" s="109"/>
      <c r="B146" s="110"/>
      <c r="C146" s="110"/>
      <c r="D146" s="110"/>
    </row>
    <row r="147" spans="1:4" ht="15">
      <c r="A147" s="109"/>
      <c r="B147" s="110"/>
      <c r="C147" s="110"/>
      <c r="D147" s="110"/>
    </row>
    <row r="148" spans="1:4" ht="15">
      <c r="A148" s="109"/>
      <c r="B148" s="110"/>
      <c r="C148" s="110"/>
      <c r="D148" s="110"/>
    </row>
    <row r="149" spans="1:4" ht="15">
      <c r="A149" s="109"/>
      <c r="B149" s="110"/>
      <c r="C149" s="110"/>
      <c r="D149" s="110"/>
    </row>
    <row r="150" spans="1:4" ht="15">
      <c r="A150" s="109"/>
      <c r="B150" s="110"/>
      <c r="C150" s="110"/>
      <c r="D150" s="110"/>
    </row>
    <row r="151" spans="1:4" ht="15">
      <c r="A151" s="109"/>
      <c r="B151" s="110"/>
      <c r="C151" s="110"/>
      <c r="D151" s="110"/>
    </row>
    <row r="152" spans="1:4" ht="15">
      <c r="A152" s="109"/>
      <c r="B152" s="110"/>
      <c r="C152" s="110"/>
      <c r="D152" s="110"/>
    </row>
    <row r="153" spans="1:4" ht="15">
      <c r="A153" s="109"/>
      <c r="B153" s="110"/>
      <c r="C153" s="110"/>
      <c r="D153" s="110"/>
    </row>
    <row r="154" spans="1:4" ht="15">
      <c r="A154" s="109"/>
      <c r="B154" s="110"/>
      <c r="C154" s="110"/>
      <c r="D154" s="110"/>
    </row>
    <row r="155" spans="1:4" ht="15">
      <c r="A155" s="109"/>
      <c r="B155" s="110"/>
      <c r="C155" s="110"/>
      <c r="D155" s="110"/>
    </row>
    <row r="156" spans="1:4" ht="15">
      <c r="A156" s="109"/>
      <c r="B156" s="110"/>
      <c r="C156" s="110"/>
      <c r="D156" s="110"/>
    </row>
    <row r="157" spans="1:4" ht="15">
      <c r="A157" s="109"/>
      <c r="B157" s="110"/>
      <c r="C157" s="110"/>
      <c r="D157" s="110"/>
    </row>
    <row r="158" spans="1:4" ht="15">
      <c r="A158" s="109"/>
      <c r="B158" s="110"/>
      <c r="C158" s="110"/>
      <c r="D158" s="110"/>
    </row>
    <row r="159" spans="1:4" ht="15">
      <c r="A159" s="109"/>
      <c r="B159" s="110"/>
      <c r="C159" s="110"/>
      <c r="D159" s="110"/>
    </row>
    <row r="160" spans="1:4" ht="15">
      <c r="A160" s="109"/>
      <c r="B160" s="110"/>
      <c r="C160" s="110"/>
      <c r="D160" s="110"/>
    </row>
    <row r="161" spans="1:4" ht="15">
      <c r="A161" s="109"/>
      <c r="B161" s="110"/>
      <c r="C161" s="110"/>
      <c r="D161" s="110"/>
    </row>
    <row r="162" spans="1:4" ht="15">
      <c r="A162" s="109"/>
      <c r="B162" s="110"/>
      <c r="C162" s="110"/>
      <c r="D162" s="110"/>
    </row>
    <row r="163" spans="1:4" ht="15">
      <c r="A163" s="109"/>
      <c r="B163" s="110"/>
      <c r="C163" s="110"/>
      <c r="D163" s="110"/>
    </row>
    <row r="164" spans="1:4" ht="15">
      <c r="A164" s="109"/>
      <c r="B164" s="110"/>
      <c r="C164" s="110"/>
      <c r="D164" s="110"/>
    </row>
    <row r="165" spans="1:4" ht="15">
      <c r="A165" s="109"/>
      <c r="B165" s="110"/>
      <c r="C165" s="110"/>
      <c r="D165" s="110"/>
    </row>
    <row r="166" spans="1:4" ht="15">
      <c r="A166" s="109"/>
      <c r="B166" s="110"/>
      <c r="C166" s="110"/>
      <c r="D166" s="110"/>
    </row>
    <row r="167" spans="1:4" ht="15">
      <c r="A167" s="109"/>
      <c r="B167" s="110"/>
      <c r="C167" s="110"/>
      <c r="D167" s="110"/>
    </row>
    <row r="168" spans="1:4" ht="15">
      <c r="A168" s="109"/>
      <c r="B168" s="110"/>
      <c r="C168" s="110"/>
      <c r="D168" s="110"/>
    </row>
    <row r="169" spans="1:4" ht="15">
      <c r="A169" s="109"/>
      <c r="B169" s="110"/>
      <c r="C169" s="110"/>
      <c r="D169" s="110"/>
    </row>
    <row r="170" spans="1:4" ht="15">
      <c r="A170" s="109"/>
      <c r="B170" s="110"/>
      <c r="C170" s="110"/>
      <c r="D170" s="110"/>
    </row>
    <row r="171" spans="1:4" ht="15">
      <c r="A171" s="109"/>
      <c r="B171" s="110"/>
      <c r="C171" s="110"/>
      <c r="D171" s="110"/>
    </row>
    <row r="172" spans="1:4" ht="15">
      <c r="A172" s="109"/>
      <c r="B172" s="110"/>
      <c r="C172" s="110"/>
      <c r="D172" s="110"/>
    </row>
    <row r="173" spans="1:4" ht="15">
      <c r="A173" s="109"/>
      <c r="B173" s="110"/>
      <c r="C173" s="110"/>
      <c r="D173" s="110"/>
    </row>
    <row r="174" spans="1:4" ht="15">
      <c r="A174" s="109"/>
      <c r="B174" s="110"/>
      <c r="C174" s="110"/>
      <c r="D174" s="110"/>
    </row>
    <row r="175" spans="1:4" ht="15">
      <c r="A175" s="109"/>
      <c r="B175" s="110"/>
      <c r="C175" s="110"/>
      <c r="D175" s="110"/>
    </row>
    <row r="176" spans="1:4" ht="15">
      <c r="A176" s="109"/>
      <c r="B176" s="110"/>
      <c r="C176" s="110"/>
      <c r="D176" s="110"/>
    </row>
    <row r="177" spans="1:4" ht="15">
      <c r="A177" s="109"/>
      <c r="B177" s="110"/>
      <c r="C177" s="110"/>
      <c r="D177" s="110"/>
    </row>
    <row r="178" spans="1:4" ht="15">
      <c r="A178" s="109"/>
      <c r="B178" s="110"/>
      <c r="C178" s="110"/>
      <c r="D178" s="110"/>
    </row>
    <row r="179" spans="1:4" ht="15">
      <c r="A179" s="109"/>
      <c r="B179" s="110"/>
      <c r="C179" s="110"/>
      <c r="D179" s="110"/>
    </row>
    <row r="180" spans="1:4" ht="15">
      <c r="A180" s="109"/>
      <c r="B180" s="110"/>
      <c r="C180" s="110"/>
      <c r="D180" s="110"/>
    </row>
    <row r="181" spans="1:4" ht="15">
      <c r="A181" s="109"/>
      <c r="B181" s="110"/>
      <c r="C181" s="110"/>
      <c r="D181" s="110"/>
    </row>
    <row r="182" spans="1:4" ht="15">
      <c r="A182" s="109"/>
      <c r="B182" s="110"/>
      <c r="C182" s="110"/>
      <c r="D182" s="110"/>
    </row>
    <row r="183" spans="1:4" ht="15">
      <c r="A183" s="109"/>
      <c r="B183" s="110"/>
      <c r="C183" s="110"/>
      <c r="D183" s="110"/>
    </row>
    <row r="184" spans="1:4" ht="15">
      <c r="A184" s="109"/>
      <c r="B184" s="110"/>
      <c r="C184" s="110"/>
      <c r="D184" s="110"/>
    </row>
    <row r="185" spans="1:4" ht="15">
      <c r="A185" s="109"/>
      <c r="B185" s="110"/>
      <c r="C185" s="110"/>
      <c r="D185" s="110"/>
    </row>
    <row r="186" spans="1:4" ht="15">
      <c r="A186" s="109"/>
      <c r="B186" s="110"/>
      <c r="C186" s="110"/>
      <c r="D186" s="110"/>
    </row>
    <row r="187" spans="1:4" ht="15">
      <c r="A187" s="109"/>
      <c r="B187" s="110"/>
      <c r="C187" s="110"/>
      <c r="D187" s="110"/>
    </row>
    <row r="188" spans="1:4" ht="15">
      <c r="A188" s="109"/>
      <c r="B188" s="110"/>
      <c r="C188" s="110"/>
      <c r="D188" s="110"/>
    </row>
    <row r="189" spans="1:4" ht="15">
      <c r="A189" s="109"/>
      <c r="B189" s="110"/>
      <c r="C189" s="110"/>
      <c r="D189" s="110"/>
    </row>
    <row r="190" spans="1:4" ht="15">
      <c r="A190" s="109"/>
      <c r="B190" s="110"/>
      <c r="C190" s="110"/>
      <c r="D190" s="110"/>
    </row>
    <row r="191" spans="1:4" ht="15">
      <c r="A191" s="109"/>
      <c r="B191" s="110"/>
      <c r="C191" s="110"/>
      <c r="D191" s="110"/>
    </row>
    <row r="192" spans="1:4" ht="15">
      <c r="A192" s="109"/>
      <c r="B192" s="110"/>
      <c r="C192" s="110"/>
      <c r="D192" s="110"/>
    </row>
    <row r="193" spans="1:4" ht="15">
      <c r="A193" s="109"/>
      <c r="B193" s="110"/>
      <c r="C193" s="110"/>
      <c r="D193" s="110"/>
    </row>
    <row r="195" ht="15.75">
      <c r="A195" s="53"/>
    </row>
    <row r="196" spans="1:4" ht="12.75" customHeight="1">
      <c r="A196" s="115"/>
      <c r="B196" s="116"/>
      <c r="C196" s="116"/>
      <c r="D196" s="116"/>
    </row>
    <row r="197" ht="15">
      <c r="A197" s="109"/>
    </row>
    <row r="198" ht="15">
      <c r="A198" s="109"/>
    </row>
    <row r="199" ht="15">
      <c r="A199" s="109"/>
    </row>
    <row r="200" ht="15">
      <c r="A200" s="109"/>
    </row>
    <row r="202" ht="15.75">
      <c r="A202" s="53"/>
    </row>
    <row r="203" spans="1:4" ht="12.75">
      <c r="A203" s="115"/>
      <c r="B203" s="116"/>
      <c r="C203" s="116"/>
      <c r="D203" s="116"/>
    </row>
    <row r="204" spans="1:4" ht="15">
      <c r="A204" s="109"/>
      <c r="B204" s="110"/>
      <c r="C204" s="110"/>
      <c r="D204" s="110"/>
    </row>
    <row r="205" spans="1:4" ht="15">
      <c r="A205" s="109"/>
      <c r="B205" s="110"/>
      <c r="C205" s="110"/>
      <c r="D205" s="110"/>
    </row>
    <row r="206" spans="1:4" ht="15">
      <c r="A206" s="109"/>
      <c r="B206" s="110"/>
      <c r="C206" s="110"/>
      <c r="D206" s="110"/>
    </row>
    <row r="207" spans="1:4" ht="15">
      <c r="A207" s="109"/>
      <c r="B207" s="110"/>
      <c r="C207" s="110"/>
      <c r="D207" s="110"/>
    </row>
    <row r="208" spans="1:4" ht="15">
      <c r="A208" s="109"/>
      <c r="B208" s="110"/>
      <c r="C208" s="110"/>
      <c r="D208" s="110"/>
    </row>
    <row r="209" spans="1:4" ht="15">
      <c r="A209" s="109"/>
      <c r="B209" s="110"/>
      <c r="C209" s="110"/>
      <c r="D209" s="110"/>
    </row>
    <row r="210" spans="1:4" ht="15">
      <c r="A210" s="109"/>
      <c r="B210" s="110"/>
      <c r="C210" s="110"/>
      <c r="D210" s="110"/>
    </row>
  </sheetData>
  <mergeCells count="2">
    <mergeCell ref="E3:F3"/>
    <mergeCell ref="G3:H3"/>
  </mergeCells>
  <printOptions/>
  <pageMargins left="0.3" right="0.3" top="0.984251968503937" bottom="0.984251968503937" header="0.5118110236220472" footer="0.5118110236220472"/>
  <pageSetup fitToHeight="1" fitToWidth="1" horizontalDpi="600" verticalDpi="600" orientation="landscape" paperSize="9" scale="68" r:id="rId1"/>
  <headerFooter alignWithMargins="0">
    <oddHeader>&amp;LMCI Management Spółka Akcyjna&amp;CSA-RS 2002&amp;Rw tys. zł</oddHeader>
    <oddFooter>&amp;CKomisja Papierów Wartościowych i Giełd</oddFooter>
  </headerFooter>
  <rowBreaks count="2" manualBreakCount="2">
    <brk id="40" max="255" man="1"/>
    <brk id="141" max="255" man="1"/>
  </rowBreaks>
</worksheet>
</file>

<file path=xl/worksheets/sheet14.xml><?xml version="1.0" encoding="utf-8"?>
<worksheet xmlns="http://schemas.openxmlformats.org/spreadsheetml/2006/main" xmlns:r="http://schemas.openxmlformats.org/officeDocument/2006/relationships">
  <dimension ref="A1:C30"/>
  <sheetViews>
    <sheetView zoomScale="70" zoomScaleNormal="70" workbookViewId="0" topLeftCell="A1">
      <selection activeCell="A1" sqref="A1"/>
    </sheetView>
  </sheetViews>
  <sheetFormatPr defaultColWidth="9.00390625" defaultRowHeight="12.75"/>
  <cols>
    <col min="1" max="1" width="96.875" style="0" customWidth="1"/>
    <col min="2" max="2" width="18.25390625" style="0" customWidth="1"/>
    <col min="3" max="3" width="18.375" style="0" customWidth="1"/>
  </cols>
  <sheetData>
    <row r="1" spans="1:3" ht="18">
      <c r="A1" s="98" t="s">
        <v>976</v>
      </c>
      <c r="B1" s="99"/>
      <c r="C1" s="99"/>
    </row>
    <row r="2" spans="1:3" ht="12.75">
      <c r="A2" s="99"/>
      <c r="B2" s="99"/>
      <c r="C2" s="99"/>
    </row>
    <row r="3" spans="1:3" ht="12.75">
      <c r="A3" s="215" t="s">
        <v>1091</v>
      </c>
      <c r="B3" s="99"/>
      <c r="C3" s="99"/>
    </row>
    <row r="4" spans="1:3" ht="5.25" customHeight="1">
      <c r="A4" s="215"/>
      <c r="B4" s="99"/>
      <c r="C4" s="99"/>
    </row>
    <row r="5" spans="1:3" ht="22.5">
      <c r="A5" s="214" t="s">
        <v>1092</v>
      </c>
      <c r="B5" s="99"/>
      <c r="C5" s="99"/>
    </row>
    <row r="6" spans="1:3" ht="5.25" customHeight="1">
      <c r="A6" s="215"/>
      <c r="B6" s="99"/>
      <c r="C6" s="99"/>
    </row>
    <row r="7" spans="1:3" ht="33.75">
      <c r="A7" s="214" t="s">
        <v>467</v>
      </c>
      <c r="B7" s="99"/>
      <c r="C7" s="99"/>
    </row>
    <row r="8" spans="1:3" ht="5.25" customHeight="1">
      <c r="A8" s="215"/>
      <c r="B8" s="99"/>
      <c r="C8" s="99"/>
    </row>
    <row r="9" spans="1:3" ht="33.75">
      <c r="A9" s="214" t="s">
        <v>468</v>
      </c>
      <c r="B9" s="99"/>
      <c r="C9" s="99"/>
    </row>
    <row r="10" spans="1:3" ht="5.25" customHeight="1">
      <c r="A10" s="99"/>
      <c r="B10" s="99"/>
      <c r="C10" s="99"/>
    </row>
    <row r="11" spans="1:3" ht="12.75">
      <c r="A11" s="99"/>
      <c r="B11" s="99"/>
      <c r="C11" s="99"/>
    </row>
    <row r="12" spans="1:3" ht="12.75">
      <c r="A12" s="228" t="s">
        <v>469</v>
      </c>
      <c r="B12" s="99"/>
      <c r="C12" s="99"/>
    </row>
    <row r="13" spans="1:3" ht="12.75">
      <c r="A13" s="99"/>
      <c r="B13" s="99"/>
      <c r="C13" s="99"/>
    </row>
    <row r="14" spans="1:3" ht="12.75">
      <c r="A14" s="99"/>
      <c r="B14" s="99"/>
      <c r="C14" s="99"/>
    </row>
    <row r="15" spans="1:3" ht="13.5" thickBot="1">
      <c r="A15" s="228" t="s">
        <v>470</v>
      </c>
      <c r="B15" s="99"/>
      <c r="C15" s="99"/>
    </row>
    <row r="16" spans="1:3" ht="15">
      <c r="A16" s="102" t="s">
        <v>471</v>
      </c>
      <c r="B16" s="88" t="s">
        <v>93</v>
      </c>
      <c r="C16" s="89" t="s">
        <v>94</v>
      </c>
    </row>
    <row r="17" spans="1:3" ht="14.25">
      <c r="A17" s="68" t="s">
        <v>959</v>
      </c>
      <c r="B17" s="72"/>
      <c r="C17" s="73"/>
    </row>
    <row r="18" spans="1:3" ht="14.25">
      <c r="A18" s="68" t="s">
        <v>960</v>
      </c>
      <c r="B18" s="72"/>
      <c r="C18" s="73"/>
    </row>
    <row r="19" spans="1:3" ht="14.25">
      <c r="A19" s="68" t="s">
        <v>256</v>
      </c>
      <c r="B19" s="72"/>
      <c r="C19" s="73"/>
    </row>
    <row r="20" spans="1:3" ht="14.25">
      <c r="A20" s="68" t="s">
        <v>257</v>
      </c>
      <c r="B20" s="72"/>
      <c r="C20" s="73"/>
    </row>
    <row r="21" spans="1:3" ht="14.25">
      <c r="A21" s="68" t="s">
        <v>258</v>
      </c>
      <c r="B21" s="72"/>
      <c r="C21" s="73"/>
    </row>
    <row r="22" spans="1:3" ht="14.25">
      <c r="A22" s="68" t="s">
        <v>259</v>
      </c>
      <c r="B22" s="72"/>
      <c r="C22" s="73"/>
    </row>
    <row r="23" spans="1:3" ht="14.25">
      <c r="A23" s="68"/>
      <c r="B23" s="72"/>
      <c r="C23" s="73"/>
    </row>
    <row r="24" spans="1:3" ht="14.25">
      <c r="A24" s="68" t="s">
        <v>260</v>
      </c>
      <c r="B24" s="72"/>
      <c r="C24" s="73"/>
    </row>
    <row r="25" spans="1:3" ht="14.25">
      <c r="A25" s="68" t="s">
        <v>261</v>
      </c>
      <c r="B25" s="72"/>
      <c r="C25" s="73"/>
    </row>
    <row r="26" spans="1:3" ht="14.25">
      <c r="A26" s="68" t="s">
        <v>262</v>
      </c>
      <c r="B26" s="72"/>
      <c r="C26" s="73"/>
    </row>
    <row r="27" spans="1:3" ht="14.25">
      <c r="A27" s="68" t="s">
        <v>263</v>
      </c>
      <c r="B27" s="72"/>
      <c r="C27" s="73"/>
    </row>
    <row r="28" spans="1:3" ht="14.25">
      <c r="A28" s="68" t="s">
        <v>264</v>
      </c>
      <c r="B28" s="72"/>
      <c r="C28" s="73"/>
    </row>
    <row r="29" spans="1:3" ht="14.25">
      <c r="A29" s="68" t="s">
        <v>265</v>
      </c>
      <c r="B29" s="72"/>
      <c r="C29" s="73"/>
    </row>
    <row r="30" spans="1:3" ht="15" thickBot="1">
      <c r="A30" s="69" t="s">
        <v>472</v>
      </c>
      <c r="B30" s="83"/>
      <c r="C30" s="84"/>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worksheet>
</file>

<file path=xl/worksheets/sheet15.xml><?xml version="1.0" encoding="utf-8"?>
<worksheet xmlns="http://schemas.openxmlformats.org/spreadsheetml/2006/main" xmlns:r="http://schemas.openxmlformats.org/officeDocument/2006/relationships">
  <dimension ref="A1:F1853"/>
  <sheetViews>
    <sheetView zoomScale="70" zoomScaleNormal="70" workbookViewId="0" topLeftCell="A1">
      <selection activeCell="A1" sqref="A1"/>
    </sheetView>
  </sheetViews>
  <sheetFormatPr defaultColWidth="9.00390625" defaultRowHeight="12.75"/>
  <cols>
    <col min="1" max="1" width="133.875" style="0" customWidth="1"/>
    <col min="2" max="2" width="0.12890625" style="0" customWidth="1"/>
    <col min="3" max="3" width="18.00390625" style="0" hidden="1" customWidth="1"/>
  </cols>
  <sheetData>
    <row r="1" spans="1:6" ht="18">
      <c r="A1" s="98" t="s">
        <v>473</v>
      </c>
      <c r="B1" s="99"/>
      <c r="C1" s="99"/>
      <c r="D1" s="99"/>
      <c r="E1" s="99"/>
      <c r="F1" s="99"/>
    </row>
    <row r="2" spans="1:6" ht="9.75" customHeight="1">
      <c r="A2" s="99"/>
      <c r="B2" s="99"/>
      <c r="C2" s="99"/>
      <c r="D2" s="99"/>
      <c r="E2" s="99"/>
      <c r="F2" s="99"/>
    </row>
    <row r="3" spans="1:6" ht="12.75">
      <c r="A3" s="228" t="s">
        <v>469</v>
      </c>
      <c r="B3" s="99"/>
      <c r="C3" s="99"/>
      <c r="D3" s="99"/>
      <c r="E3" s="99"/>
      <c r="F3" s="99"/>
    </row>
    <row r="4" spans="1:6" ht="12.75">
      <c r="A4" s="99"/>
      <c r="B4" s="99"/>
      <c r="C4" s="99"/>
      <c r="D4" s="99"/>
      <c r="E4" s="99"/>
      <c r="F4" s="99"/>
    </row>
    <row r="5" spans="1:6" ht="12.75">
      <c r="A5" s="229" t="s">
        <v>474</v>
      </c>
      <c r="B5" s="99"/>
      <c r="C5" s="99"/>
      <c r="D5" s="99"/>
      <c r="E5" s="99"/>
      <c r="F5" s="99"/>
    </row>
    <row r="6" spans="1:6" ht="9" customHeight="1">
      <c r="A6" s="229"/>
      <c r="B6" s="99"/>
      <c r="C6" s="99"/>
      <c r="D6" s="99"/>
      <c r="E6" s="99"/>
      <c r="F6" s="99"/>
    </row>
    <row r="7" spans="1:6" ht="12.75">
      <c r="A7" s="229" t="s">
        <v>1116</v>
      </c>
      <c r="B7" s="99"/>
      <c r="C7" s="99"/>
      <c r="D7" s="99"/>
      <c r="E7" s="99"/>
      <c r="F7" s="99"/>
    </row>
    <row r="8" spans="1:6" ht="12.75">
      <c r="A8" s="229" t="s">
        <v>1122</v>
      </c>
      <c r="B8" s="99"/>
      <c r="C8" s="99"/>
      <c r="D8" s="99"/>
      <c r="E8" s="99"/>
      <c r="F8" s="99"/>
    </row>
    <row r="9" spans="1:6" ht="12.75">
      <c r="A9" s="229" t="s">
        <v>1123</v>
      </c>
      <c r="B9" s="99"/>
      <c r="C9" s="99"/>
      <c r="D9" s="99"/>
      <c r="E9" s="99"/>
      <c r="F9" s="99"/>
    </row>
    <row r="10" spans="1:6" ht="12.75">
      <c r="A10" s="229" t="s">
        <v>1124</v>
      </c>
      <c r="B10" s="99"/>
      <c r="C10" s="99"/>
      <c r="D10" s="99"/>
      <c r="E10" s="99"/>
      <c r="F10" s="99"/>
    </row>
    <row r="11" spans="1:6" ht="12.75">
      <c r="A11" s="229" t="s">
        <v>1125</v>
      </c>
      <c r="B11" s="99"/>
      <c r="C11" s="99"/>
      <c r="D11" s="99"/>
      <c r="E11" s="99"/>
      <c r="F11" s="99"/>
    </row>
    <row r="12" spans="1:6" ht="12.75">
      <c r="A12" s="229" t="s">
        <v>1126</v>
      </c>
      <c r="B12" s="99"/>
      <c r="C12" s="99"/>
      <c r="D12" s="99"/>
      <c r="E12" s="99"/>
      <c r="F12" s="99"/>
    </row>
    <row r="13" spans="1:6" ht="12.75">
      <c r="A13" s="229" t="s">
        <v>1127</v>
      </c>
      <c r="B13" s="99"/>
      <c r="C13" s="99"/>
      <c r="D13" s="99"/>
      <c r="E13" s="99"/>
      <c r="F13" s="99"/>
    </row>
    <row r="14" spans="1:6" ht="9.75" customHeight="1">
      <c r="A14" s="229"/>
      <c r="B14" s="99"/>
      <c r="C14" s="99"/>
      <c r="D14" s="99"/>
      <c r="E14" s="99"/>
      <c r="F14" s="99"/>
    </row>
    <row r="15" spans="1:6" ht="25.5">
      <c r="A15" s="230" t="s">
        <v>1128</v>
      </c>
      <c r="B15" s="99"/>
      <c r="C15" s="99"/>
      <c r="D15" s="99"/>
      <c r="E15" s="99"/>
      <c r="F15" s="99"/>
    </row>
    <row r="16" spans="1:6" ht="9.75" customHeight="1">
      <c r="A16" s="229"/>
      <c r="B16" s="99"/>
      <c r="C16" s="99"/>
      <c r="D16" s="99"/>
      <c r="E16" s="99"/>
      <c r="F16" s="99"/>
    </row>
    <row r="17" spans="1:6" ht="25.5">
      <c r="A17" s="230" t="s">
        <v>1129</v>
      </c>
      <c r="B17" s="99"/>
      <c r="C17" s="99"/>
      <c r="D17" s="99"/>
      <c r="E17" s="99"/>
      <c r="F17" s="99"/>
    </row>
    <row r="18" spans="1:6" ht="9" customHeight="1">
      <c r="A18" s="229"/>
      <c r="B18" s="99"/>
      <c r="C18" s="99"/>
      <c r="D18" s="99"/>
      <c r="E18" s="99"/>
      <c r="F18" s="99"/>
    </row>
    <row r="19" spans="1:6" ht="12.75">
      <c r="A19" s="229" t="s">
        <v>1130</v>
      </c>
      <c r="B19" s="99"/>
      <c r="C19" s="99"/>
      <c r="D19" s="99"/>
      <c r="E19" s="99"/>
      <c r="F19" s="99"/>
    </row>
    <row r="20" spans="1:6" ht="12.75">
      <c r="A20" s="229" t="s">
        <v>513</v>
      </c>
      <c r="B20" s="99"/>
      <c r="C20" s="99"/>
      <c r="D20" s="99"/>
      <c r="E20" s="99"/>
      <c r="F20" s="99"/>
    </row>
    <row r="21" spans="1:6" ht="12.75">
      <c r="A21" s="229" t="s">
        <v>514</v>
      </c>
      <c r="B21" s="99"/>
      <c r="C21" s="99"/>
      <c r="D21" s="99"/>
      <c r="E21" s="99"/>
      <c r="F21" s="99"/>
    </row>
    <row r="22" spans="1:6" ht="12.75">
      <c r="A22" s="229" t="s">
        <v>1272</v>
      </c>
      <c r="B22" s="99"/>
      <c r="C22" s="99"/>
      <c r="D22" s="99"/>
      <c r="E22" s="99"/>
      <c r="F22" s="99"/>
    </row>
    <row r="23" spans="1:6" ht="12.75">
      <c r="A23" s="229" t="s">
        <v>1273</v>
      </c>
      <c r="B23" s="99"/>
      <c r="C23" s="99"/>
      <c r="D23" s="99"/>
      <c r="E23" s="99"/>
      <c r="F23" s="99"/>
    </row>
    <row r="24" spans="1:6" ht="12.75">
      <c r="A24" s="229" t="s">
        <v>1274</v>
      </c>
      <c r="B24" s="99"/>
      <c r="C24" s="99"/>
      <c r="D24" s="99"/>
      <c r="E24" s="99"/>
      <c r="F24" s="99"/>
    </row>
    <row r="25" spans="1:6" ht="12.75">
      <c r="A25" s="229" t="s">
        <v>1275</v>
      </c>
      <c r="B25" s="99"/>
      <c r="C25" s="99"/>
      <c r="D25" s="99"/>
      <c r="E25" s="99"/>
      <c r="F25" s="99"/>
    </row>
    <row r="26" spans="1:6" ht="12.75">
      <c r="A26" s="229" t="s">
        <v>1276</v>
      </c>
      <c r="B26" s="99"/>
      <c r="C26" s="99"/>
      <c r="D26" s="99"/>
      <c r="E26" s="99"/>
      <c r="F26" s="99"/>
    </row>
    <row r="27" spans="1:6" ht="12.75">
      <c r="A27" s="229" t="s">
        <v>1277</v>
      </c>
      <c r="B27" s="99"/>
      <c r="C27" s="99"/>
      <c r="D27" s="99"/>
      <c r="E27" s="99"/>
      <c r="F27" s="99"/>
    </row>
    <row r="28" spans="1:6" ht="12.75">
      <c r="A28" s="229" t="s">
        <v>1278</v>
      </c>
      <c r="B28" s="99"/>
      <c r="C28" s="99"/>
      <c r="D28" s="99"/>
      <c r="E28" s="99"/>
      <c r="F28" s="99"/>
    </row>
    <row r="29" spans="1:6" ht="12.75">
      <c r="A29" s="229" t="s">
        <v>1279</v>
      </c>
      <c r="B29" s="99"/>
      <c r="C29" s="99"/>
      <c r="D29" s="99"/>
      <c r="E29" s="99"/>
      <c r="F29" s="99"/>
    </row>
    <row r="30" spans="1:6" ht="12.75">
      <c r="A30" s="229" t="s">
        <v>1280</v>
      </c>
      <c r="B30" s="99"/>
      <c r="C30" s="99"/>
      <c r="D30" s="99"/>
      <c r="E30" s="99"/>
      <c r="F30" s="99"/>
    </row>
    <row r="31" spans="1:6" ht="12.75">
      <c r="A31" s="229" t="s">
        <v>1281</v>
      </c>
      <c r="B31" s="99"/>
      <c r="C31" s="99"/>
      <c r="D31" s="99"/>
      <c r="E31" s="99"/>
      <c r="F31" s="99"/>
    </row>
    <row r="32" spans="1:6" ht="12.75">
      <c r="A32" s="229" t="s">
        <v>1282</v>
      </c>
      <c r="B32" s="99"/>
      <c r="C32" s="99"/>
      <c r="D32" s="99"/>
      <c r="E32" s="99"/>
      <c r="F32" s="99"/>
    </row>
    <row r="33" spans="1:6" ht="12.75">
      <c r="A33" s="229" t="s">
        <v>1283</v>
      </c>
      <c r="B33" s="99"/>
      <c r="C33" s="99"/>
      <c r="D33" s="99"/>
      <c r="E33" s="99"/>
      <c r="F33" s="99"/>
    </row>
    <row r="34" spans="1:6" ht="12.75">
      <c r="A34" s="229" t="s">
        <v>1284</v>
      </c>
      <c r="B34" s="99"/>
      <c r="C34" s="99"/>
      <c r="D34" s="99"/>
      <c r="E34" s="99"/>
      <c r="F34" s="99"/>
    </row>
    <row r="35" spans="1:6" ht="12.75">
      <c r="A35" s="229" t="s">
        <v>515</v>
      </c>
      <c r="B35" s="99"/>
      <c r="C35" s="99"/>
      <c r="D35" s="99"/>
      <c r="E35" s="99"/>
      <c r="F35" s="99"/>
    </row>
    <row r="36" spans="1:6" ht="6.75" customHeight="1">
      <c r="A36" s="229"/>
      <c r="B36" s="99"/>
      <c r="C36" s="99"/>
      <c r="D36" s="99"/>
      <c r="E36" s="99"/>
      <c r="F36" s="99"/>
    </row>
    <row r="37" spans="1:6" ht="12.75">
      <c r="A37" s="229" t="s">
        <v>516</v>
      </c>
      <c r="B37" s="99"/>
      <c r="C37" s="99"/>
      <c r="D37" s="99"/>
      <c r="E37" s="99"/>
      <c r="F37" s="99"/>
    </row>
    <row r="38" spans="1:6" ht="6.75" customHeight="1">
      <c r="A38" s="229"/>
      <c r="B38" s="99"/>
      <c r="C38" s="99"/>
      <c r="D38" s="99"/>
      <c r="E38" s="99"/>
      <c r="F38" s="99"/>
    </row>
    <row r="39" spans="1:6" ht="12.75">
      <c r="A39" s="229" t="s">
        <v>517</v>
      </c>
      <c r="B39" s="99"/>
      <c r="C39" s="99"/>
      <c r="D39" s="99"/>
      <c r="E39" s="99"/>
      <c r="F39" s="99"/>
    </row>
    <row r="40" spans="1:6" ht="12.75">
      <c r="A40" s="229" t="s">
        <v>11</v>
      </c>
      <c r="B40" s="99"/>
      <c r="C40" s="99"/>
      <c r="D40" s="99"/>
      <c r="E40" s="99"/>
      <c r="F40" s="99"/>
    </row>
    <row r="41" spans="1:6" ht="6.75" customHeight="1">
      <c r="A41" s="229"/>
      <c r="B41" s="99"/>
      <c r="C41" s="99"/>
      <c r="D41" s="99"/>
      <c r="E41" s="99"/>
      <c r="F41" s="99"/>
    </row>
    <row r="42" spans="1:6" ht="12.75">
      <c r="A42" s="229" t="s">
        <v>518</v>
      </c>
      <c r="B42" s="99"/>
      <c r="C42" s="99"/>
      <c r="D42" s="99"/>
      <c r="E42" s="99"/>
      <c r="F42" s="99"/>
    </row>
    <row r="43" spans="1:6" ht="6.75" customHeight="1">
      <c r="A43" s="229"/>
      <c r="B43" s="99"/>
      <c r="C43" s="99"/>
      <c r="D43" s="99"/>
      <c r="E43" s="99"/>
      <c r="F43" s="99"/>
    </row>
    <row r="44" spans="1:6" ht="12.75">
      <c r="A44" s="229" t="s">
        <v>519</v>
      </c>
      <c r="B44" s="99"/>
      <c r="C44" s="99"/>
      <c r="D44" s="99"/>
      <c r="E44" s="99"/>
      <c r="F44" s="99"/>
    </row>
    <row r="45" spans="1:6" ht="12.75" customHeight="1">
      <c r="A45" s="229" t="s">
        <v>1285</v>
      </c>
      <c r="B45" s="99"/>
      <c r="C45" s="99"/>
      <c r="D45" s="99"/>
      <c r="E45" s="99"/>
      <c r="F45" s="99"/>
    </row>
    <row r="46" spans="1:6" ht="12.75">
      <c r="A46" s="229" t="s">
        <v>1286</v>
      </c>
      <c r="B46" s="99"/>
      <c r="C46" s="99"/>
      <c r="D46" s="99"/>
      <c r="E46" s="99"/>
      <c r="F46" s="99"/>
    </row>
    <row r="47" spans="1:6" ht="9" customHeight="1">
      <c r="A47" s="229"/>
      <c r="B47" s="99"/>
      <c r="C47" s="99"/>
      <c r="D47" s="99"/>
      <c r="E47" s="99"/>
      <c r="F47" s="99"/>
    </row>
    <row r="48" spans="1:6" ht="12.75">
      <c r="A48" s="229" t="s">
        <v>520</v>
      </c>
      <c r="B48" s="99"/>
      <c r="C48" s="99"/>
      <c r="D48" s="99"/>
      <c r="E48" s="99"/>
      <c r="F48" s="99"/>
    </row>
    <row r="49" spans="1:6" ht="25.5">
      <c r="A49" s="230" t="s">
        <v>1146</v>
      </c>
      <c r="B49" s="99"/>
      <c r="C49" s="99"/>
      <c r="D49" s="99"/>
      <c r="E49" s="99"/>
      <c r="F49" s="99"/>
    </row>
    <row r="50" spans="1:6" ht="12.75">
      <c r="A50" s="229" t="s">
        <v>1287</v>
      </c>
      <c r="B50" s="99"/>
      <c r="C50" s="99"/>
      <c r="D50" s="99"/>
      <c r="E50" s="99"/>
      <c r="F50" s="99"/>
    </row>
    <row r="51" spans="1:6" ht="9.75" customHeight="1">
      <c r="A51" s="229"/>
      <c r="B51" s="99"/>
      <c r="C51" s="99"/>
      <c r="D51" s="99"/>
      <c r="E51" s="99"/>
      <c r="F51" s="99"/>
    </row>
    <row r="52" spans="1:6" ht="51">
      <c r="A52" s="230" t="s">
        <v>665</v>
      </c>
      <c r="B52" s="99"/>
      <c r="C52" s="99"/>
      <c r="D52" s="99"/>
      <c r="E52" s="99"/>
      <c r="F52" s="99"/>
    </row>
    <row r="53" spans="1:6" ht="9.75" customHeight="1">
      <c r="A53" s="229"/>
      <c r="B53" s="99"/>
      <c r="C53" s="99"/>
      <c r="D53" s="99"/>
      <c r="E53" s="99"/>
      <c r="F53" s="99"/>
    </row>
    <row r="54" spans="1:6" ht="12.75">
      <c r="A54" s="229" t="s">
        <v>0</v>
      </c>
      <c r="B54" s="99"/>
      <c r="C54" s="99"/>
      <c r="D54" s="99"/>
      <c r="E54" s="99"/>
      <c r="F54" s="99"/>
    </row>
    <row r="55" spans="1:6" ht="12.75">
      <c r="A55" s="229" t="s">
        <v>14</v>
      </c>
      <c r="B55" s="99"/>
      <c r="C55" s="99"/>
      <c r="D55" s="99"/>
      <c r="E55" s="99"/>
      <c r="F55" s="99"/>
    </row>
    <row r="56" spans="1:6" ht="25.5">
      <c r="A56" s="230" t="s">
        <v>15</v>
      </c>
      <c r="B56" s="99"/>
      <c r="C56" s="99"/>
      <c r="D56" s="99"/>
      <c r="E56" s="99"/>
      <c r="F56" s="99"/>
    </row>
    <row r="57" spans="1:6" ht="6" customHeight="1">
      <c r="A57" s="229"/>
      <c r="B57" s="99"/>
      <c r="C57" s="99"/>
      <c r="D57" s="99"/>
      <c r="E57" s="99"/>
      <c r="F57" s="99"/>
    </row>
    <row r="58" spans="1:6" ht="25.5" customHeight="1">
      <c r="A58" s="230" t="s">
        <v>1</v>
      </c>
      <c r="B58" s="99"/>
      <c r="C58" s="99"/>
      <c r="D58" s="99"/>
      <c r="E58" s="99"/>
      <c r="F58" s="99"/>
    </row>
    <row r="59" spans="1:6" ht="9.75" customHeight="1">
      <c r="A59" s="229"/>
      <c r="B59" s="99"/>
      <c r="C59" s="99"/>
      <c r="D59" s="99"/>
      <c r="E59" s="99"/>
      <c r="F59" s="99"/>
    </row>
    <row r="60" spans="1:6" ht="12.75">
      <c r="A60" s="229" t="s">
        <v>16</v>
      </c>
      <c r="B60" s="99"/>
      <c r="C60" s="99"/>
      <c r="D60" s="99"/>
      <c r="E60" s="99"/>
      <c r="F60" s="99"/>
    </row>
    <row r="61" spans="1:6" ht="25.5" customHeight="1">
      <c r="A61" s="230" t="s">
        <v>2</v>
      </c>
      <c r="B61" s="99"/>
      <c r="C61" s="99"/>
      <c r="D61" s="99"/>
      <c r="E61" s="99"/>
      <c r="F61" s="99"/>
    </row>
    <row r="62" spans="1:6" ht="6" customHeight="1">
      <c r="A62" s="229" t="s">
        <v>3</v>
      </c>
      <c r="B62" s="99"/>
      <c r="C62" s="99"/>
      <c r="D62" s="99"/>
      <c r="E62" s="99"/>
      <c r="F62" s="99"/>
    </row>
    <row r="63" spans="1:6" ht="12.75">
      <c r="A63" s="229" t="s">
        <v>4</v>
      </c>
      <c r="B63" s="99"/>
      <c r="C63" s="99"/>
      <c r="D63" s="99"/>
      <c r="E63" s="99"/>
      <c r="F63" s="99"/>
    </row>
    <row r="64" spans="1:6" ht="9.75" customHeight="1">
      <c r="A64" s="229"/>
      <c r="B64" s="99"/>
      <c r="C64" s="99"/>
      <c r="D64" s="99"/>
      <c r="E64" s="99"/>
      <c r="F64" s="99"/>
    </row>
    <row r="65" spans="1:6" ht="12.75">
      <c r="A65" s="229" t="s">
        <v>5</v>
      </c>
      <c r="B65" s="99"/>
      <c r="C65" s="99"/>
      <c r="D65" s="99"/>
      <c r="E65" s="99"/>
      <c r="F65" s="99"/>
    </row>
    <row r="66" spans="1:6" ht="12.75">
      <c r="A66" s="229" t="s">
        <v>6</v>
      </c>
      <c r="B66" s="99"/>
      <c r="C66" s="99"/>
      <c r="D66" s="99"/>
      <c r="E66" s="99"/>
      <c r="F66" s="99"/>
    </row>
    <row r="67" spans="1:6" ht="9.75" customHeight="1">
      <c r="A67" s="229"/>
      <c r="B67" s="99"/>
      <c r="C67" s="99"/>
      <c r="D67" s="99"/>
      <c r="E67" s="99"/>
      <c r="F67" s="99"/>
    </row>
    <row r="68" spans="1:6" ht="12.75">
      <c r="A68" s="229" t="s">
        <v>17</v>
      </c>
      <c r="B68" s="99"/>
      <c r="C68" s="99"/>
      <c r="D68" s="99"/>
      <c r="E68" s="99"/>
      <c r="F68" s="99"/>
    </row>
    <row r="69" spans="1:6" ht="12.75">
      <c r="A69" s="230" t="s">
        <v>18</v>
      </c>
      <c r="B69" s="99"/>
      <c r="C69" s="99"/>
      <c r="D69" s="99"/>
      <c r="E69" s="99"/>
      <c r="F69" s="99"/>
    </row>
    <row r="70" spans="1:6" ht="9.75" customHeight="1">
      <c r="A70" s="229"/>
      <c r="B70" s="99"/>
      <c r="C70" s="99"/>
      <c r="D70" s="99"/>
      <c r="E70" s="99"/>
      <c r="F70" s="99"/>
    </row>
    <row r="71" spans="1:6" ht="51">
      <c r="A71" s="230" t="s">
        <v>714</v>
      </c>
      <c r="B71" s="99"/>
      <c r="C71" s="99"/>
      <c r="D71" s="99"/>
      <c r="E71" s="99"/>
      <c r="F71" s="99"/>
    </row>
    <row r="72" spans="1:6" ht="12.75">
      <c r="A72" s="229" t="s">
        <v>715</v>
      </c>
      <c r="B72" s="99"/>
      <c r="C72" s="99"/>
      <c r="D72" s="99"/>
      <c r="E72" s="99"/>
      <c r="F72" s="99"/>
    </row>
    <row r="73" spans="1:6" ht="12.75">
      <c r="A73" s="229" t="s">
        <v>716</v>
      </c>
      <c r="B73" s="99"/>
      <c r="C73" s="99"/>
      <c r="D73" s="99"/>
      <c r="E73" s="99"/>
      <c r="F73" s="99"/>
    </row>
    <row r="74" spans="1:6" ht="12.75">
      <c r="A74" s="229" t="s">
        <v>717</v>
      </c>
      <c r="B74" s="99"/>
      <c r="C74" s="99"/>
      <c r="D74" s="99"/>
      <c r="E74" s="99"/>
      <c r="F74" s="99"/>
    </row>
    <row r="75" spans="1:6" ht="9.75" customHeight="1">
      <c r="A75" s="229" t="s">
        <v>462</v>
      </c>
      <c r="B75" s="99"/>
      <c r="C75" s="99"/>
      <c r="D75" s="99"/>
      <c r="E75" s="99"/>
      <c r="F75" s="99"/>
    </row>
    <row r="76" spans="1:6" ht="25.5">
      <c r="A76" s="230" t="s">
        <v>718</v>
      </c>
      <c r="B76" s="99"/>
      <c r="C76" s="99"/>
      <c r="D76" s="99"/>
      <c r="E76" s="99"/>
      <c r="F76" s="99"/>
    </row>
    <row r="77" spans="1:6" ht="9.75" customHeight="1">
      <c r="A77" s="229"/>
      <c r="B77" s="99"/>
      <c r="C77" s="99"/>
      <c r="D77" s="99"/>
      <c r="E77" s="99"/>
      <c r="F77" s="99"/>
    </row>
    <row r="78" spans="1:6" ht="12.75">
      <c r="A78" s="229" t="s">
        <v>666</v>
      </c>
      <c r="B78" s="99"/>
      <c r="C78" s="99"/>
      <c r="D78" s="99"/>
      <c r="E78" s="99"/>
      <c r="F78" s="99"/>
    </row>
    <row r="79" spans="1:6" ht="12.75">
      <c r="A79" s="229" t="s">
        <v>671</v>
      </c>
      <c r="B79" s="99"/>
      <c r="C79" s="99"/>
      <c r="D79" s="99"/>
      <c r="E79" s="99"/>
      <c r="F79" s="99"/>
    </row>
    <row r="80" spans="1:6" ht="25.5">
      <c r="A80" s="230" t="s">
        <v>719</v>
      </c>
      <c r="B80" s="99"/>
      <c r="C80" s="99"/>
      <c r="D80" s="99"/>
      <c r="E80" s="99"/>
      <c r="F80" s="99"/>
    </row>
    <row r="81" spans="1:6" ht="12.75">
      <c r="A81" s="229" t="s">
        <v>715</v>
      </c>
      <c r="B81" s="99"/>
      <c r="C81" s="99"/>
      <c r="D81" s="99"/>
      <c r="E81" s="99"/>
      <c r="F81" s="99"/>
    </row>
    <row r="82" spans="1:6" ht="12.75">
      <c r="A82" s="229" t="s">
        <v>716</v>
      </c>
      <c r="B82" s="99"/>
      <c r="C82" s="99"/>
      <c r="D82" s="99"/>
      <c r="E82" s="99"/>
      <c r="F82" s="99"/>
    </row>
    <row r="83" spans="1:6" ht="12.75">
      <c r="A83" s="229" t="s">
        <v>717</v>
      </c>
      <c r="B83" s="99"/>
      <c r="C83" s="99"/>
      <c r="D83" s="99"/>
      <c r="E83" s="99"/>
      <c r="F83" s="99"/>
    </row>
    <row r="84" spans="1:6" ht="9.75" customHeight="1">
      <c r="A84" s="229"/>
      <c r="B84" s="99"/>
      <c r="C84" s="99"/>
      <c r="D84" s="99"/>
      <c r="E84" s="99"/>
      <c r="F84" s="99"/>
    </row>
    <row r="85" spans="1:6" ht="12.75">
      <c r="A85" s="229" t="s">
        <v>672</v>
      </c>
      <c r="B85" s="99"/>
      <c r="C85" s="99"/>
      <c r="D85" s="99"/>
      <c r="E85" s="99"/>
      <c r="F85" s="99"/>
    </row>
    <row r="86" spans="1:6" ht="25.5">
      <c r="A86" s="230" t="s">
        <v>673</v>
      </c>
      <c r="B86" s="99"/>
      <c r="C86" s="99"/>
      <c r="D86" s="99"/>
      <c r="E86" s="99"/>
      <c r="F86" s="99"/>
    </row>
    <row r="87" spans="1:6" ht="12.75">
      <c r="A87" s="229" t="s">
        <v>720</v>
      </c>
      <c r="B87" s="99"/>
      <c r="C87" s="99"/>
      <c r="D87" s="99"/>
      <c r="E87" s="99"/>
      <c r="F87" s="99"/>
    </row>
    <row r="88" spans="1:6" ht="12.75">
      <c r="A88" s="229" t="s">
        <v>723</v>
      </c>
      <c r="B88" s="99"/>
      <c r="C88" s="99"/>
      <c r="D88" s="99"/>
      <c r="E88" s="99"/>
      <c r="F88" s="99"/>
    </row>
    <row r="89" spans="1:6" ht="12.75">
      <c r="A89" s="229" t="s">
        <v>724</v>
      </c>
      <c r="B89" s="99"/>
      <c r="C89" s="99"/>
      <c r="D89" s="99"/>
      <c r="E89" s="99"/>
      <c r="F89" s="99"/>
    </row>
    <row r="90" spans="1:6" ht="9.75" customHeight="1">
      <c r="A90" s="229"/>
      <c r="B90" s="99"/>
      <c r="C90" s="99"/>
      <c r="D90" s="99"/>
      <c r="E90" s="99"/>
      <c r="F90" s="99"/>
    </row>
    <row r="91" spans="1:6" ht="12.75">
      <c r="A91" s="229" t="s">
        <v>725</v>
      </c>
      <c r="B91" s="99"/>
      <c r="C91" s="99"/>
      <c r="D91" s="99"/>
      <c r="E91" s="99"/>
      <c r="F91" s="99"/>
    </row>
    <row r="92" spans="1:6" ht="25.5">
      <c r="A92" s="230" t="s">
        <v>726</v>
      </c>
      <c r="B92" s="99"/>
      <c r="C92" s="99"/>
      <c r="D92" s="99"/>
      <c r="E92" s="99"/>
      <c r="F92" s="99"/>
    </row>
    <row r="93" spans="1:6" ht="12.75">
      <c r="A93" s="229" t="s">
        <v>1288</v>
      </c>
      <c r="B93" s="99"/>
      <c r="C93" s="99"/>
      <c r="D93" s="99"/>
      <c r="E93" s="99"/>
      <c r="F93" s="99"/>
    </row>
    <row r="94" spans="1:6" ht="12.75">
      <c r="A94" s="229" t="s">
        <v>727</v>
      </c>
      <c r="B94" s="99"/>
      <c r="C94" s="99"/>
      <c r="D94" s="99"/>
      <c r="E94" s="99"/>
      <c r="F94" s="99"/>
    </row>
    <row r="95" spans="1:6" ht="12.75">
      <c r="A95" s="229" t="s">
        <v>1289</v>
      </c>
      <c r="B95" s="99"/>
      <c r="C95" s="99"/>
      <c r="D95" s="99"/>
      <c r="E95" s="99"/>
      <c r="F95" s="99"/>
    </row>
    <row r="96" spans="1:6" ht="9.75" customHeight="1">
      <c r="A96" s="229"/>
      <c r="B96" s="99"/>
      <c r="C96" s="99"/>
      <c r="D96" s="99"/>
      <c r="E96" s="99"/>
      <c r="F96" s="99"/>
    </row>
    <row r="97" spans="1:6" ht="12.75">
      <c r="A97" s="229" t="s">
        <v>674</v>
      </c>
      <c r="B97" s="99"/>
      <c r="C97" s="99"/>
      <c r="D97" s="99"/>
      <c r="E97" s="99"/>
      <c r="F97" s="99"/>
    </row>
    <row r="98" spans="1:6" ht="12.75">
      <c r="A98" s="230" t="s">
        <v>675</v>
      </c>
      <c r="B98" s="99"/>
      <c r="C98" s="99"/>
      <c r="D98" s="99"/>
      <c r="E98" s="99"/>
      <c r="F98" s="99"/>
    </row>
    <row r="99" spans="1:6" ht="12.75">
      <c r="A99" s="229" t="s">
        <v>728</v>
      </c>
      <c r="B99" s="99"/>
      <c r="C99" s="99"/>
      <c r="D99" s="99"/>
      <c r="E99" s="99"/>
      <c r="F99" s="99"/>
    </row>
    <row r="100" spans="1:6" ht="12.75">
      <c r="A100" s="229" t="s">
        <v>729</v>
      </c>
      <c r="B100" s="99"/>
      <c r="C100" s="99"/>
      <c r="D100" s="99"/>
      <c r="E100" s="99"/>
      <c r="F100" s="99"/>
    </row>
    <row r="101" spans="1:6" ht="38.25">
      <c r="A101" s="230" t="s">
        <v>676</v>
      </c>
      <c r="B101" s="99"/>
      <c r="C101" s="99"/>
      <c r="D101" s="99"/>
      <c r="E101" s="99"/>
      <c r="F101" s="99"/>
    </row>
    <row r="102" spans="1:6" ht="9.75" customHeight="1">
      <c r="A102" s="229"/>
      <c r="B102" s="99"/>
      <c r="C102" s="99"/>
      <c r="D102" s="99"/>
      <c r="E102" s="99"/>
      <c r="F102" s="99"/>
    </row>
    <row r="103" spans="1:6" ht="12.75">
      <c r="A103" s="229" t="s">
        <v>730</v>
      </c>
      <c r="B103" s="99"/>
      <c r="C103" s="99"/>
      <c r="D103" s="99"/>
      <c r="E103" s="99"/>
      <c r="F103" s="99"/>
    </row>
    <row r="104" spans="1:6" ht="12.75">
      <c r="A104" s="229" t="s">
        <v>19</v>
      </c>
      <c r="B104" s="99"/>
      <c r="C104" s="99"/>
      <c r="D104" s="99"/>
      <c r="E104" s="99"/>
      <c r="F104" s="99"/>
    </row>
    <row r="105" spans="1:6" ht="9.75" customHeight="1">
      <c r="A105" s="229"/>
      <c r="B105" s="99"/>
      <c r="C105" s="99"/>
      <c r="D105" s="99"/>
      <c r="E105" s="99"/>
      <c r="F105" s="99"/>
    </row>
    <row r="106" spans="1:6" ht="12.75">
      <c r="A106" s="229" t="s">
        <v>1290</v>
      </c>
      <c r="B106" s="99"/>
      <c r="C106" s="99"/>
      <c r="D106" s="99"/>
      <c r="E106" s="99"/>
      <c r="F106" s="99"/>
    </row>
    <row r="107" spans="1:6" ht="9.75" customHeight="1">
      <c r="A107" s="229" t="s">
        <v>462</v>
      </c>
      <c r="B107" s="99"/>
      <c r="C107" s="99"/>
      <c r="D107" s="99"/>
      <c r="E107" s="99"/>
      <c r="F107" s="99"/>
    </row>
    <row r="108" spans="1:6" ht="12.75">
      <c r="A108" s="229" t="s">
        <v>7</v>
      </c>
      <c r="B108" s="99"/>
      <c r="C108" s="99"/>
      <c r="D108" s="99"/>
      <c r="E108" s="99"/>
      <c r="F108" s="99"/>
    </row>
    <row r="109" spans="1:6" ht="9.75" customHeight="1">
      <c r="A109" s="229" t="s">
        <v>462</v>
      </c>
      <c r="B109" s="99"/>
      <c r="C109" s="99"/>
      <c r="D109" s="99"/>
      <c r="E109" s="99"/>
      <c r="F109" s="99"/>
    </row>
    <row r="110" spans="1:6" ht="12.75">
      <c r="A110" s="229" t="s">
        <v>20</v>
      </c>
      <c r="B110" s="99"/>
      <c r="C110" s="99"/>
      <c r="D110" s="99"/>
      <c r="E110" s="99"/>
      <c r="F110" s="99"/>
    </row>
    <row r="111" spans="1:6" ht="9.75" customHeight="1">
      <c r="A111" s="229"/>
      <c r="B111" s="99"/>
      <c r="C111" s="99"/>
      <c r="D111" s="99"/>
      <c r="E111" s="99"/>
      <c r="F111" s="99"/>
    </row>
    <row r="112" spans="1:6" ht="12.75">
      <c r="A112" s="229" t="s">
        <v>72</v>
      </c>
      <c r="B112" s="99"/>
      <c r="C112" s="99"/>
      <c r="D112" s="99"/>
      <c r="E112" s="99"/>
      <c r="F112" s="99"/>
    </row>
    <row r="113" spans="1:6" ht="12.75">
      <c r="A113" s="229" t="s">
        <v>677</v>
      </c>
      <c r="B113" s="99"/>
      <c r="C113" s="99"/>
      <c r="D113" s="99"/>
      <c r="E113" s="99"/>
      <c r="F113" s="99"/>
    </row>
    <row r="114" spans="1:6" ht="9.75" customHeight="1">
      <c r="A114" s="229" t="s">
        <v>462</v>
      </c>
      <c r="B114" s="99"/>
      <c r="C114" s="99"/>
      <c r="D114" s="99"/>
      <c r="E114" s="99"/>
      <c r="F114" s="99"/>
    </row>
    <row r="115" spans="1:6" ht="12.75">
      <c r="A115" s="229" t="s">
        <v>21</v>
      </c>
      <c r="B115" s="99"/>
      <c r="C115" s="99"/>
      <c r="D115" s="99"/>
      <c r="E115" s="99"/>
      <c r="F115" s="99"/>
    </row>
    <row r="116" spans="1:6" ht="9.75" customHeight="1">
      <c r="A116" s="229" t="s">
        <v>462</v>
      </c>
      <c r="B116" s="99"/>
      <c r="C116" s="99"/>
      <c r="D116" s="99"/>
      <c r="E116" s="99"/>
      <c r="F116" s="99"/>
    </row>
    <row r="117" spans="1:6" ht="12.75">
      <c r="A117" s="229" t="s">
        <v>22</v>
      </c>
      <c r="B117" s="99"/>
      <c r="C117" s="99"/>
      <c r="D117" s="99"/>
      <c r="E117" s="99"/>
      <c r="F117" s="99"/>
    </row>
    <row r="118" spans="1:6" ht="12.75">
      <c r="A118" s="229" t="s">
        <v>23</v>
      </c>
      <c r="B118" s="99"/>
      <c r="C118" s="99"/>
      <c r="D118" s="99"/>
      <c r="E118" s="99"/>
      <c r="F118" s="99"/>
    </row>
    <row r="119" spans="1:6" ht="12.75">
      <c r="A119" s="229" t="s">
        <v>24</v>
      </c>
      <c r="B119" s="99"/>
      <c r="C119" s="99"/>
      <c r="D119" s="99"/>
      <c r="E119" s="99"/>
      <c r="F119" s="99"/>
    </row>
    <row r="120" spans="1:6" ht="12.75">
      <c r="A120" s="229" t="s">
        <v>25</v>
      </c>
      <c r="B120" s="99"/>
      <c r="C120" s="99"/>
      <c r="D120" s="99"/>
      <c r="E120" s="99"/>
      <c r="F120" s="99"/>
    </row>
    <row r="121" spans="1:6" ht="9.75" customHeight="1">
      <c r="A121" s="229"/>
      <c r="B121" s="99"/>
      <c r="C121" s="99"/>
      <c r="D121" s="99"/>
      <c r="E121" s="99"/>
      <c r="F121" s="99"/>
    </row>
    <row r="122" spans="1:6" ht="12.75">
      <c r="A122" s="229" t="s">
        <v>26</v>
      </c>
      <c r="B122" s="99"/>
      <c r="C122" s="99"/>
      <c r="D122" s="99"/>
      <c r="E122" s="99"/>
      <c r="F122" s="99"/>
    </row>
    <row r="123" spans="1:6" ht="12.75">
      <c r="A123" s="229" t="s">
        <v>27</v>
      </c>
      <c r="B123" s="99"/>
      <c r="C123" s="99"/>
      <c r="D123" s="99"/>
      <c r="E123" s="99"/>
      <c r="F123" s="99"/>
    </row>
    <row r="124" spans="1:6" ht="12.75">
      <c r="A124" s="229" t="s">
        <v>28</v>
      </c>
      <c r="B124" s="99"/>
      <c r="C124" s="99"/>
      <c r="D124" s="99"/>
      <c r="E124" s="99"/>
      <c r="F124" s="99"/>
    </row>
    <row r="125" spans="1:6" ht="12.75">
      <c r="A125" s="229" t="s">
        <v>29</v>
      </c>
      <c r="B125" s="99"/>
      <c r="C125" s="99"/>
      <c r="D125" s="99"/>
      <c r="E125" s="99"/>
      <c r="F125" s="99"/>
    </row>
    <row r="126" spans="1:6" ht="12.75">
      <c r="A126" s="229" t="s">
        <v>30</v>
      </c>
      <c r="B126" s="99"/>
      <c r="C126" s="99"/>
      <c r="D126" s="99"/>
      <c r="E126" s="99"/>
      <c r="F126" s="99"/>
    </row>
    <row r="127" spans="1:6" ht="12.75">
      <c r="A127" s="229" t="s">
        <v>31</v>
      </c>
      <c r="B127" s="99"/>
      <c r="C127" s="99"/>
      <c r="D127" s="99"/>
      <c r="E127" s="99"/>
      <c r="F127" s="99"/>
    </row>
    <row r="128" spans="1:6" ht="12.75">
      <c r="A128" s="229" t="s">
        <v>32</v>
      </c>
      <c r="B128" s="99"/>
      <c r="C128" s="99"/>
      <c r="D128" s="99"/>
      <c r="E128" s="99"/>
      <c r="F128" s="99"/>
    </row>
    <row r="129" spans="1:6" ht="12.75">
      <c r="A129" s="229" t="s">
        <v>33</v>
      </c>
      <c r="B129" s="99"/>
      <c r="C129" s="99"/>
      <c r="D129" s="99"/>
      <c r="E129" s="99"/>
      <c r="F129" s="99"/>
    </row>
    <row r="130" spans="1:6" ht="9.75" customHeight="1">
      <c r="A130" s="229"/>
      <c r="B130" s="99"/>
      <c r="C130" s="99"/>
      <c r="D130" s="99"/>
      <c r="E130" s="99"/>
      <c r="F130" s="99"/>
    </row>
    <row r="131" spans="1:6" ht="12.75">
      <c r="A131" s="229" t="s">
        <v>34</v>
      </c>
      <c r="B131" s="99"/>
      <c r="C131" s="99"/>
      <c r="D131" s="99"/>
      <c r="E131" s="99"/>
      <c r="F131" s="99"/>
    </row>
    <row r="132" spans="1:6" ht="10.5" customHeight="1">
      <c r="A132" s="229"/>
      <c r="B132" s="99"/>
      <c r="C132" s="99"/>
      <c r="D132" s="99"/>
      <c r="E132" s="99"/>
      <c r="F132" s="99"/>
    </row>
    <row r="133" spans="1:6" ht="12.75">
      <c r="A133" s="229" t="s">
        <v>73</v>
      </c>
      <c r="B133" s="99"/>
      <c r="C133" s="99"/>
      <c r="D133" s="99"/>
      <c r="E133" s="99"/>
      <c r="F133" s="99"/>
    </row>
    <row r="134" spans="1:6" ht="12.75">
      <c r="A134" s="229" t="s">
        <v>75</v>
      </c>
      <c r="B134" s="99"/>
      <c r="C134" s="99"/>
      <c r="D134" s="99"/>
      <c r="E134" s="99"/>
      <c r="F134" s="99"/>
    </row>
    <row r="135" spans="1:6" ht="25.5">
      <c r="A135" s="230" t="s">
        <v>35</v>
      </c>
      <c r="B135" s="99"/>
      <c r="C135" s="99"/>
      <c r="D135" s="99"/>
      <c r="E135" s="99"/>
      <c r="F135" s="99"/>
    </row>
    <row r="136" spans="1:6" ht="10.5" customHeight="1">
      <c r="A136" s="229" t="s">
        <v>36</v>
      </c>
      <c r="B136" s="99"/>
      <c r="C136" s="99"/>
      <c r="D136" s="99"/>
      <c r="E136" s="99"/>
      <c r="F136" s="99"/>
    </row>
    <row r="137" spans="1:6" ht="76.5">
      <c r="A137" s="230" t="s">
        <v>748</v>
      </c>
      <c r="B137" s="99"/>
      <c r="C137" s="99"/>
      <c r="D137" s="99"/>
      <c r="E137" s="99"/>
      <c r="F137" s="99"/>
    </row>
    <row r="138" spans="1:6" ht="9.75" customHeight="1">
      <c r="A138" s="229"/>
      <c r="B138" s="99"/>
      <c r="C138" s="99"/>
      <c r="D138" s="99"/>
      <c r="E138" s="99"/>
      <c r="F138" s="99"/>
    </row>
    <row r="139" spans="1:6" ht="12.75">
      <c r="A139" s="229" t="s">
        <v>749</v>
      </c>
      <c r="B139" s="99"/>
      <c r="C139" s="99"/>
      <c r="D139" s="99"/>
      <c r="E139" s="99"/>
      <c r="F139" s="99"/>
    </row>
    <row r="140" spans="1:6" ht="10.5" customHeight="1">
      <c r="A140" s="229" t="s">
        <v>462</v>
      </c>
      <c r="B140" s="99"/>
      <c r="C140" s="99"/>
      <c r="D140" s="99"/>
      <c r="E140" s="99"/>
      <c r="F140" s="99"/>
    </row>
    <row r="141" spans="1:6" ht="12.75">
      <c r="A141" s="229" t="s">
        <v>8</v>
      </c>
      <c r="B141" s="99"/>
      <c r="C141" s="99"/>
      <c r="D141" s="99"/>
      <c r="E141" s="99"/>
      <c r="F141" s="99"/>
    </row>
    <row r="142" spans="1:6" ht="9.75" customHeight="1">
      <c r="A142" s="229" t="s">
        <v>462</v>
      </c>
      <c r="B142" s="99"/>
      <c r="C142" s="99"/>
      <c r="D142" s="99"/>
      <c r="E142" s="99"/>
      <c r="F142" s="99"/>
    </row>
    <row r="143" spans="1:6" ht="12.75">
      <c r="A143" s="229" t="s">
        <v>9</v>
      </c>
      <c r="B143" s="99"/>
      <c r="C143" s="99"/>
      <c r="D143" s="99"/>
      <c r="E143" s="99"/>
      <c r="F143" s="99"/>
    </row>
    <row r="144" spans="1:6" ht="9.75" customHeight="1">
      <c r="A144" s="229"/>
      <c r="B144" s="99"/>
      <c r="C144" s="99"/>
      <c r="D144" s="99"/>
      <c r="E144" s="99"/>
      <c r="F144" s="99"/>
    </row>
    <row r="145" spans="1:6" ht="12.75">
      <c r="A145" s="229" t="s">
        <v>76</v>
      </c>
      <c r="B145" s="99"/>
      <c r="C145" s="99"/>
      <c r="D145" s="99"/>
      <c r="E145" s="99"/>
      <c r="F145" s="99"/>
    </row>
    <row r="146" spans="1:6" ht="12.75">
      <c r="A146" s="229" t="s">
        <v>77</v>
      </c>
      <c r="B146" s="99"/>
      <c r="C146" s="99"/>
      <c r="D146" s="99"/>
      <c r="E146" s="99"/>
      <c r="F146" s="99"/>
    </row>
    <row r="147" spans="1:6" ht="12.75">
      <c r="A147" s="229" t="s">
        <v>78</v>
      </c>
      <c r="B147" s="99"/>
      <c r="C147" s="99"/>
      <c r="D147" s="99"/>
      <c r="E147" s="99"/>
      <c r="F147" s="99"/>
    </row>
    <row r="148" spans="1:6" ht="9" customHeight="1">
      <c r="A148" s="229"/>
      <c r="B148" s="99"/>
      <c r="C148" s="99"/>
      <c r="D148" s="99"/>
      <c r="E148" s="99"/>
      <c r="F148" s="99"/>
    </row>
    <row r="149" spans="1:6" ht="12.75">
      <c r="A149" s="229" t="s">
        <v>79</v>
      </c>
      <c r="B149" s="99"/>
      <c r="C149" s="99"/>
      <c r="D149" s="99"/>
      <c r="E149" s="99"/>
      <c r="F149" s="99"/>
    </row>
    <row r="150" spans="1:6" ht="12.75">
      <c r="A150" s="229" t="s">
        <v>80</v>
      </c>
      <c r="B150" s="99"/>
      <c r="C150" s="99"/>
      <c r="D150" s="99"/>
      <c r="E150" s="99"/>
      <c r="F150" s="99"/>
    </row>
    <row r="151" spans="1:6" ht="9.75" customHeight="1">
      <c r="A151" s="229"/>
      <c r="B151" s="99"/>
      <c r="C151" s="99"/>
      <c r="D151" s="99"/>
      <c r="E151" s="99"/>
      <c r="F151" s="99"/>
    </row>
    <row r="152" spans="1:6" ht="12.75">
      <c r="A152" s="229" t="s">
        <v>81</v>
      </c>
      <c r="B152" s="99"/>
      <c r="C152" s="99"/>
      <c r="D152" s="99"/>
      <c r="E152" s="99"/>
      <c r="F152" s="99"/>
    </row>
    <row r="153" spans="1:6" ht="12.75">
      <c r="A153" s="229" t="s">
        <v>82</v>
      </c>
      <c r="B153" s="99"/>
      <c r="C153" s="99"/>
      <c r="D153" s="99"/>
      <c r="E153" s="99"/>
      <c r="F153" s="99"/>
    </row>
    <row r="154" spans="1:6" ht="9.75" customHeight="1">
      <c r="A154" s="229"/>
      <c r="B154" s="99"/>
      <c r="C154" s="99"/>
      <c r="D154" s="99"/>
      <c r="E154" s="99"/>
      <c r="F154" s="99"/>
    </row>
    <row r="155" spans="1:6" ht="12.75">
      <c r="A155" s="229" t="s">
        <v>83</v>
      </c>
      <c r="B155" s="99"/>
      <c r="C155" s="99"/>
      <c r="D155" s="99"/>
      <c r="E155" s="99"/>
      <c r="F155" s="99"/>
    </row>
    <row r="156" spans="1:6" ht="12.75">
      <c r="A156" s="229" t="s">
        <v>84</v>
      </c>
      <c r="B156" s="99"/>
      <c r="C156" s="99"/>
      <c r="D156" s="99"/>
      <c r="E156" s="99"/>
      <c r="F156" s="99"/>
    </row>
    <row r="157" spans="1:6" ht="9.75" customHeight="1">
      <c r="A157" s="229" t="s">
        <v>462</v>
      </c>
      <c r="B157" s="99"/>
      <c r="C157" s="99"/>
      <c r="D157" s="99"/>
      <c r="E157" s="99"/>
      <c r="F157" s="99"/>
    </row>
    <row r="158" spans="1:6" ht="12.75">
      <c r="A158" s="229" t="s">
        <v>85</v>
      </c>
      <c r="B158" s="99"/>
      <c r="C158" s="99"/>
      <c r="D158" s="99"/>
      <c r="E158" s="99"/>
      <c r="F158" s="99"/>
    </row>
    <row r="159" spans="1:6" ht="25.5">
      <c r="A159" s="230" t="s">
        <v>731</v>
      </c>
      <c r="B159" s="99"/>
      <c r="C159" s="99"/>
      <c r="D159" s="99"/>
      <c r="E159" s="99"/>
      <c r="F159" s="99"/>
    </row>
    <row r="160" spans="1:6" ht="9.75" customHeight="1">
      <c r="A160" s="229"/>
      <c r="B160" s="99"/>
      <c r="C160" s="99"/>
      <c r="D160" s="99"/>
      <c r="E160" s="99"/>
      <c r="F160" s="99"/>
    </row>
    <row r="161" spans="1:6" ht="12.75">
      <c r="A161" s="229" t="s">
        <v>752</v>
      </c>
      <c r="B161" s="99"/>
      <c r="C161" s="99"/>
      <c r="D161" s="99"/>
      <c r="E161" s="99"/>
      <c r="F161" s="99"/>
    </row>
    <row r="162" spans="1:6" ht="12.75">
      <c r="A162" s="229" t="s">
        <v>753</v>
      </c>
      <c r="B162" s="99"/>
      <c r="C162" s="99"/>
      <c r="D162" s="99"/>
      <c r="E162" s="99"/>
      <c r="F162" s="99"/>
    </row>
    <row r="163" spans="1:6" ht="12.75">
      <c r="A163" s="229" t="s">
        <v>732</v>
      </c>
      <c r="B163" s="99"/>
      <c r="C163" s="99"/>
      <c r="D163" s="99"/>
      <c r="E163" s="99"/>
      <c r="F163" s="99"/>
    </row>
    <row r="164" spans="1:6" ht="12.75">
      <c r="A164" s="229" t="s">
        <v>733</v>
      </c>
      <c r="B164" s="99"/>
      <c r="C164" s="99"/>
      <c r="D164" s="99"/>
      <c r="E164" s="99"/>
      <c r="F164" s="99"/>
    </row>
    <row r="165" spans="1:6" ht="12.75">
      <c r="A165" s="229" t="s">
        <v>734</v>
      </c>
      <c r="B165" s="99"/>
      <c r="C165" s="99"/>
      <c r="D165" s="99"/>
      <c r="E165" s="99"/>
      <c r="F165" s="99"/>
    </row>
    <row r="166" spans="1:6" ht="12.75">
      <c r="A166" s="229" t="s">
        <v>754</v>
      </c>
      <c r="B166" s="99"/>
      <c r="C166" s="99"/>
      <c r="D166" s="99"/>
      <c r="E166" s="99"/>
      <c r="F166" s="99"/>
    </row>
    <row r="167" spans="1:6" ht="38.25">
      <c r="A167" s="230" t="s">
        <v>10</v>
      </c>
      <c r="B167" s="99"/>
      <c r="C167" s="99"/>
      <c r="D167" s="99"/>
      <c r="E167" s="99"/>
      <c r="F167" s="99"/>
    </row>
    <row r="168" spans="1:6" ht="9.75" customHeight="1">
      <c r="A168" s="229"/>
      <c r="B168" s="99"/>
      <c r="C168" s="99"/>
      <c r="D168" s="99"/>
      <c r="E168" s="99"/>
      <c r="F168" s="99"/>
    </row>
    <row r="169" spans="1:6" ht="12.75">
      <c r="A169" s="229" t="s">
        <v>755</v>
      </c>
      <c r="B169" s="99"/>
      <c r="C169" s="99"/>
      <c r="D169" s="99"/>
      <c r="E169" s="99"/>
      <c r="F169" s="99"/>
    </row>
    <row r="170" spans="1:6" ht="12.75">
      <c r="A170" s="229" t="s">
        <v>1270</v>
      </c>
      <c r="B170" s="99"/>
      <c r="C170" s="99"/>
      <c r="D170" s="99"/>
      <c r="E170" s="99"/>
      <c r="F170" s="99"/>
    </row>
    <row r="171" spans="1:6" ht="9.75" customHeight="1">
      <c r="A171" s="229"/>
      <c r="B171" s="99"/>
      <c r="C171" s="99"/>
      <c r="D171" s="99"/>
      <c r="E171" s="99"/>
      <c r="F171" s="99"/>
    </row>
    <row r="172" spans="1:6" ht="12.75">
      <c r="A172" s="229" t="s">
        <v>735</v>
      </c>
      <c r="B172" s="99"/>
      <c r="C172" s="99"/>
      <c r="D172" s="99"/>
      <c r="E172" s="99"/>
      <c r="F172" s="99"/>
    </row>
    <row r="173" spans="1:6" ht="51">
      <c r="A173" s="230" t="s">
        <v>736</v>
      </c>
      <c r="B173" s="99"/>
      <c r="C173" s="99"/>
      <c r="D173" s="99"/>
      <c r="E173" s="99"/>
      <c r="F173" s="99"/>
    </row>
    <row r="174" spans="1:6" ht="25.5">
      <c r="A174" s="230" t="s">
        <v>745</v>
      </c>
      <c r="B174" s="99"/>
      <c r="C174" s="99"/>
      <c r="D174" s="99"/>
      <c r="E174" s="99"/>
      <c r="F174" s="99"/>
    </row>
    <row r="175" spans="1:6" ht="9.75" customHeight="1">
      <c r="A175" s="229"/>
      <c r="B175" s="99"/>
      <c r="C175" s="99"/>
      <c r="D175" s="99"/>
      <c r="E175" s="99"/>
      <c r="F175" s="99"/>
    </row>
    <row r="176" spans="1:6" ht="27" customHeight="1">
      <c r="A176" s="230" t="s">
        <v>1271</v>
      </c>
      <c r="B176" s="99"/>
      <c r="C176" s="99"/>
      <c r="D176" s="99"/>
      <c r="E176" s="99"/>
      <c r="F176" s="99"/>
    </row>
    <row r="177" spans="1:6" ht="12.75">
      <c r="A177" s="229"/>
      <c r="B177" s="99"/>
      <c r="C177" s="99"/>
      <c r="D177" s="99"/>
      <c r="E177" s="99"/>
      <c r="F177" s="99"/>
    </row>
    <row r="178" spans="1:6" ht="12.75">
      <c r="A178" s="229"/>
      <c r="B178" s="99"/>
      <c r="C178" s="99"/>
      <c r="D178" s="99"/>
      <c r="E178" s="99"/>
      <c r="F178" s="99"/>
    </row>
    <row r="179" spans="1:6" ht="12.75">
      <c r="A179" s="229"/>
      <c r="B179" s="99"/>
      <c r="C179" s="99"/>
      <c r="D179" s="99"/>
      <c r="E179" s="99"/>
      <c r="F179" s="99"/>
    </row>
    <row r="180" spans="1:6" ht="12.75">
      <c r="A180" s="229"/>
      <c r="B180" s="99"/>
      <c r="C180" s="99"/>
      <c r="D180" s="99"/>
      <c r="E180" s="99"/>
      <c r="F180" s="99"/>
    </row>
    <row r="181" spans="1:6" ht="12.75">
      <c r="A181" s="229"/>
      <c r="B181" s="99"/>
      <c r="C181" s="99"/>
      <c r="D181" s="99"/>
      <c r="E181" s="99"/>
      <c r="F181" s="99"/>
    </row>
    <row r="182" spans="1:6" ht="12.75">
      <c r="A182" s="229"/>
      <c r="B182" s="99"/>
      <c r="C182" s="99"/>
      <c r="D182" s="99"/>
      <c r="E182" s="99"/>
      <c r="F182" s="99"/>
    </row>
    <row r="183" spans="1:6" ht="12.75">
      <c r="A183" s="229"/>
      <c r="B183" s="99"/>
      <c r="C183" s="99"/>
      <c r="D183" s="99"/>
      <c r="E183" s="99"/>
      <c r="F183" s="99"/>
    </row>
    <row r="184" spans="1:6" ht="12.75">
      <c r="A184" s="229"/>
      <c r="B184" s="99"/>
      <c r="C184" s="99"/>
      <c r="D184" s="99"/>
      <c r="E184" s="99"/>
      <c r="F184" s="99"/>
    </row>
    <row r="185" spans="1:6" ht="12.75">
      <c r="A185" s="229"/>
      <c r="B185" s="99"/>
      <c r="C185" s="99"/>
      <c r="D185" s="99"/>
      <c r="E185" s="99"/>
      <c r="F185" s="99"/>
    </row>
    <row r="186" spans="1:6" ht="12.75">
      <c r="A186" s="229"/>
      <c r="B186" s="99"/>
      <c r="C186" s="99"/>
      <c r="D186" s="99"/>
      <c r="E186" s="99"/>
      <c r="F186" s="99"/>
    </row>
    <row r="187" spans="1:6" ht="12.75">
      <c r="A187" s="229"/>
      <c r="B187" s="99"/>
      <c r="C187" s="99"/>
      <c r="D187" s="99"/>
      <c r="E187" s="99"/>
      <c r="F187" s="99"/>
    </row>
    <row r="188" spans="1:6" ht="12.75">
      <c r="A188" s="229"/>
      <c r="B188" s="99"/>
      <c r="C188" s="99"/>
      <c r="D188" s="99"/>
      <c r="E188" s="99"/>
      <c r="F188" s="99"/>
    </row>
    <row r="189" spans="1:6" ht="12.75">
      <c r="A189" s="229"/>
      <c r="B189" s="99"/>
      <c r="C189" s="99"/>
      <c r="D189" s="99"/>
      <c r="E189" s="99"/>
      <c r="F189" s="99"/>
    </row>
    <row r="190" spans="1:6" ht="12.75">
      <c r="A190" s="229"/>
      <c r="B190" s="99"/>
      <c r="C190" s="99"/>
      <c r="D190" s="99"/>
      <c r="E190" s="99"/>
      <c r="F190" s="99"/>
    </row>
    <row r="191" spans="1:6" ht="12.75">
      <c r="A191" s="229"/>
      <c r="B191" s="99"/>
      <c r="C191" s="99"/>
      <c r="D191" s="99"/>
      <c r="E191" s="99"/>
      <c r="F191" s="99"/>
    </row>
    <row r="192" spans="1:6" ht="12.75">
      <c r="A192" s="229"/>
      <c r="B192" s="99"/>
      <c r="C192" s="99"/>
      <c r="D192" s="99"/>
      <c r="E192" s="99"/>
      <c r="F192" s="99"/>
    </row>
    <row r="193" spans="1:6" ht="12.75">
      <c r="A193" s="229"/>
      <c r="B193" s="99"/>
      <c r="C193" s="99"/>
      <c r="D193" s="99"/>
      <c r="E193" s="99"/>
      <c r="F193" s="99"/>
    </row>
    <row r="194" spans="1:6" ht="12.75">
      <c r="A194" s="229"/>
      <c r="B194" s="99"/>
      <c r="C194" s="99"/>
      <c r="D194" s="99"/>
      <c r="E194" s="99"/>
      <c r="F194" s="99"/>
    </row>
    <row r="195" spans="1:6" ht="12.75">
      <c r="A195" s="229"/>
      <c r="B195" s="99"/>
      <c r="C195" s="99"/>
      <c r="D195" s="99"/>
      <c r="E195" s="99"/>
      <c r="F195" s="99"/>
    </row>
    <row r="196" spans="1:6" ht="12.75">
      <c r="A196" s="229"/>
      <c r="B196" s="99"/>
      <c r="C196" s="99"/>
      <c r="D196" s="99"/>
      <c r="E196" s="99"/>
      <c r="F196" s="99"/>
    </row>
    <row r="197" spans="1:6" ht="12.75">
      <c r="A197" s="229"/>
      <c r="B197" s="99"/>
      <c r="C197" s="99"/>
      <c r="D197" s="99"/>
      <c r="E197" s="99"/>
      <c r="F197" s="99"/>
    </row>
    <row r="198" spans="1:6" ht="12.75">
      <c r="A198" s="229"/>
      <c r="B198" s="99"/>
      <c r="C198" s="99"/>
      <c r="D198" s="99"/>
      <c r="E198" s="99"/>
      <c r="F198" s="99"/>
    </row>
    <row r="199" spans="1:6" ht="12.75">
      <c r="A199" s="229"/>
      <c r="B199" s="99"/>
      <c r="C199" s="99"/>
      <c r="D199" s="99"/>
      <c r="E199" s="99"/>
      <c r="F199" s="99"/>
    </row>
    <row r="200" spans="1:6" ht="12.75">
      <c r="A200" s="229"/>
      <c r="B200" s="99"/>
      <c r="C200" s="99"/>
      <c r="D200" s="99"/>
      <c r="E200" s="99"/>
      <c r="F200" s="99"/>
    </row>
    <row r="201" spans="1:6" ht="12.75">
      <c r="A201" s="229"/>
      <c r="B201" s="99"/>
      <c r="C201" s="99"/>
      <c r="D201" s="99"/>
      <c r="E201" s="99"/>
      <c r="F201" s="99"/>
    </row>
    <row r="202" spans="1:6" ht="12.75">
      <c r="A202" s="229"/>
      <c r="B202" s="99"/>
      <c r="C202" s="99"/>
      <c r="D202" s="99"/>
      <c r="E202" s="99"/>
      <c r="F202" s="99"/>
    </row>
    <row r="203" spans="1:6" ht="12.75">
      <c r="A203" s="229"/>
      <c r="D203" s="99"/>
      <c r="E203" s="99"/>
      <c r="F203" s="99"/>
    </row>
    <row r="204" spans="1:6" ht="12.75">
      <c r="A204" s="229"/>
      <c r="D204" s="99"/>
      <c r="E204" s="99"/>
      <c r="F204" s="99"/>
    </row>
    <row r="205" spans="1:6" ht="12.75">
      <c r="A205" s="229"/>
      <c r="D205" s="99"/>
      <c r="E205" s="99"/>
      <c r="F205" s="99"/>
    </row>
    <row r="206" spans="1:6" ht="12.75">
      <c r="A206" s="229"/>
      <c r="D206" s="99"/>
      <c r="E206" s="99"/>
      <c r="F206" s="99"/>
    </row>
    <row r="207" spans="1:6" ht="12.75">
      <c r="A207" s="229"/>
      <c r="D207" s="99"/>
      <c r="E207" s="99"/>
      <c r="F207" s="99"/>
    </row>
    <row r="208" spans="1:6" ht="12.75">
      <c r="A208" s="229"/>
      <c r="D208" s="99"/>
      <c r="E208" s="99"/>
      <c r="F208" s="99"/>
    </row>
    <row r="209" spans="1:6" ht="12.75">
      <c r="A209" s="229"/>
      <c r="D209" s="99"/>
      <c r="E209" s="99"/>
      <c r="F209" s="99"/>
    </row>
    <row r="210" spans="1:6" ht="12.75">
      <c r="A210" s="229"/>
      <c r="D210" s="99"/>
      <c r="E210" s="99"/>
      <c r="F210" s="99"/>
    </row>
    <row r="211" spans="1:6" ht="12.75">
      <c r="A211" s="229"/>
      <c r="D211" s="99"/>
      <c r="E211" s="99"/>
      <c r="F211" s="99"/>
    </row>
    <row r="212" spans="1:6" ht="12.75">
      <c r="A212" s="229"/>
      <c r="D212" s="99"/>
      <c r="E212" s="99"/>
      <c r="F212" s="99"/>
    </row>
    <row r="213" spans="1:6" ht="12.75">
      <c r="A213" s="229"/>
      <c r="D213" s="99"/>
      <c r="E213" s="99"/>
      <c r="F213" s="99"/>
    </row>
    <row r="214" spans="1:6" ht="12.75">
      <c r="A214" s="229"/>
      <c r="D214" s="99"/>
      <c r="E214" s="99"/>
      <c r="F214" s="99"/>
    </row>
    <row r="215" spans="1:6" ht="12.75">
      <c r="A215" s="229"/>
      <c r="D215" s="99"/>
      <c r="E215" s="99"/>
      <c r="F215" s="99"/>
    </row>
    <row r="216" spans="1:6" ht="12.75">
      <c r="A216" s="229"/>
      <c r="D216" s="99"/>
      <c r="E216" s="99"/>
      <c r="F216" s="99"/>
    </row>
    <row r="217" spans="1:6" ht="12.75">
      <c r="A217" s="229"/>
      <c r="D217" s="99"/>
      <c r="E217" s="99"/>
      <c r="F217" s="99"/>
    </row>
    <row r="218" spans="1:6" ht="12.75">
      <c r="A218" s="229"/>
      <c r="D218" s="99"/>
      <c r="E218" s="99"/>
      <c r="F218" s="99"/>
    </row>
    <row r="219" spans="1:6" ht="12.75">
      <c r="A219" s="229"/>
      <c r="D219" s="99"/>
      <c r="E219" s="99"/>
      <c r="F219" s="99"/>
    </row>
    <row r="220" spans="1:6" ht="12.75">
      <c r="A220" s="229"/>
      <c r="D220" s="99"/>
      <c r="E220" s="99"/>
      <c r="F220" s="99"/>
    </row>
    <row r="221" spans="1:6" ht="12.75">
      <c r="A221" s="229"/>
      <c r="D221" s="99"/>
      <c r="E221" s="99"/>
      <c r="F221" s="99"/>
    </row>
    <row r="222" spans="1:6" ht="12.75">
      <c r="A222" s="229"/>
      <c r="D222" s="99"/>
      <c r="E222" s="99"/>
      <c r="F222" s="99"/>
    </row>
    <row r="223" spans="1:6" ht="12.75">
      <c r="A223" s="229"/>
      <c r="D223" s="99"/>
      <c r="E223" s="99"/>
      <c r="F223" s="99"/>
    </row>
    <row r="224" spans="1:6" ht="12.75">
      <c r="A224" s="229"/>
      <c r="D224" s="99"/>
      <c r="E224" s="99"/>
      <c r="F224" s="99"/>
    </row>
    <row r="225" spans="1:6" ht="12.75">
      <c r="A225" s="229"/>
      <c r="D225" s="99"/>
      <c r="E225" s="99"/>
      <c r="F225" s="99"/>
    </row>
    <row r="226" spans="1:6" ht="12.75">
      <c r="A226" s="229"/>
      <c r="D226" s="99"/>
      <c r="E226" s="99"/>
      <c r="F226" s="99"/>
    </row>
    <row r="227" spans="1:6" ht="12.75">
      <c r="A227" s="229"/>
      <c r="D227" s="99"/>
      <c r="E227" s="99"/>
      <c r="F227" s="99"/>
    </row>
    <row r="228" spans="1:6" ht="12.75">
      <c r="A228" s="229"/>
      <c r="D228" s="99"/>
      <c r="E228" s="99"/>
      <c r="F228" s="99"/>
    </row>
    <row r="229" spans="1:6" ht="12.75">
      <c r="A229" s="229"/>
      <c r="D229" s="99"/>
      <c r="E229" s="99"/>
      <c r="F229" s="99"/>
    </row>
    <row r="230" spans="1:6" ht="12.75">
      <c r="A230" s="229"/>
      <c r="D230" s="99"/>
      <c r="E230" s="99"/>
      <c r="F230" s="99"/>
    </row>
    <row r="231" spans="1:6" ht="12.75">
      <c r="A231" s="229"/>
      <c r="D231" s="99"/>
      <c r="E231" s="99"/>
      <c r="F231" s="99"/>
    </row>
    <row r="232" spans="1:6" ht="12.75">
      <c r="A232" s="229"/>
      <c r="D232" s="99"/>
      <c r="E232" s="99"/>
      <c r="F232" s="99"/>
    </row>
    <row r="233" spans="1:6" ht="12.75">
      <c r="A233" s="229"/>
      <c r="D233" s="99"/>
      <c r="E233" s="99"/>
      <c r="F233" s="99"/>
    </row>
    <row r="234" spans="1:6" ht="12.75">
      <c r="A234" s="229"/>
      <c r="D234" s="99"/>
      <c r="E234" s="99"/>
      <c r="F234" s="99"/>
    </row>
    <row r="235" spans="1:6" ht="12.75">
      <c r="A235" s="229"/>
      <c r="D235" s="99"/>
      <c r="E235" s="99"/>
      <c r="F235" s="99"/>
    </row>
    <row r="236" spans="1:6" ht="12.75">
      <c r="A236" s="229"/>
      <c r="D236" s="99"/>
      <c r="E236" s="99"/>
      <c r="F236" s="99"/>
    </row>
    <row r="237" spans="1:6" ht="12.75">
      <c r="A237" s="229"/>
      <c r="D237" s="99"/>
      <c r="E237" s="99"/>
      <c r="F237" s="99"/>
    </row>
    <row r="238" spans="1:6" ht="12.75">
      <c r="A238" s="229"/>
      <c r="D238" s="99"/>
      <c r="E238" s="99"/>
      <c r="F238" s="99"/>
    </row>
    <row r="239" spans="1:6" ht="12.75">
      <c r="A239" s="229"/>
      <c r="D239" s="99"/>
      <c r="E239" s="99"/>
      <c r="F239" s="99"/>
    </row>
    <row r="240" spans="1:6" ht="12.75">
      <c r="A240" s="229"/>
      <c r="D240" s="99"/>
      <c r="E240" s="99"/>
      <c r="F240" s="99"/>
    </row>
    <row r="241" spans="1:6" ht="12.75">
      <c r="A241" s="229"/>
      <c r="D241" s="99"/>
      <c r="E241" s="99"/>
      <c r="F241" s="99"/>
    </row>
    <row r="242" spans="1:6" ht="12.75">
      <c r="A242" s="229"/>
      <c r="D242" s="99"/>
      <c r="E242" s="99"/>
      <c r="F242" s="99"/>
    </row>
    <row r="243" spans="1:6" ht="12.75">
      <c r="A243" s="229"/>
      <c r="D243" s="99"/>
      <c r="E243" s="99"/>
      <c r="F243" s="99"/>
    </row>
    <row r="244" spans="1:6" ht="12.75">
      <c r="A244" s="229"/>
      <c r="D244" s="99"/>
      <c r="E244" s="99"/>
      <c r="F244" s="99"/>
    </row>
    <row r="245" spans="1:6" ht="12.75">
      <c r="A245" s="229"/>
      <c r="D245" s="99"/>
      <c r="E245" s="99"/>
      <c r="F245" s="99"/>
    </row>
    <row r="246" spans="1:6" ht="12.75">
      <c r="A246" s="229"/>
      <c r="D246" s="99"/>
      <c r="E246" s="99"/>
      <c r="F246" s="99"/>
    </row>
    <row r="247" spans="1:6" ht="12.75">
      <c r="A247" s="229"/>
      <c r="D247" s="99"/>
      <c r="E247" s="99"/>
      <c r="F247" s="99"/>
    </row>
    <row r="248" spans="1:6" ht="12.75">
      <c r="A248" s="229"/>
      <c r="D248" s="99"/>
      <c r="E248" s="99"/>
      <c r="F248" s="99"/>
    </row>
    <row r="249" spans="1:6" ht="12.75">
      <c r="A249" s="229"/>
      <c r="D249" s="99"/>
      <c r="E249" s="99"/>
      <c r="F249" s="99"/>
    </row>
    <row r="250" spans="1:6" ht="12.75">
      <c r="A250" s="229"/>
      <c r="D250" s="99"/>
      <c r="E250" s="99"/>
      <c r="F250" s="99"/>
    </row>
    <row r="251" spans="1:6" ht="12.75">
      <c r="A251" s="229"/>
      <c r="D251" s="99"/>
      <c r="E251" s="99"/>
      <c r="F251" s="99"/>
    </row>
    <row r="252" spans="1:6" ht="12.75">
      <c r="A252" s="229"/>
      <c r="D252" s="99"/>
      <c r="E252" s="99"/>
      <c r="F252" s="99"/>
    </row>
    <row r="253" spans="1:6" ht="12.75">
      <c r="A253" s="229"/>
      <c r="D253" s="99"/>
      <c r="E253" s="99"/>
      <c r="F253" s="99"/>
    </row>
    <row r="254" spans="1:6" ht="12.75">
      <c r="A254" s="229"/>
      <c r="D254" s="99"/>
      <c r="E254" s="99"/>
      <c r="F254" s="99"/>
    </row>
    <row r="255" spans="1:6" ht="12.75">
      <c r="A255" s="2"/>
      <c r="D255" s="99"/>
      <c r="E255" s="99"/>
      <c r="F255" s="99"/>
    </row>
    <row r="256" spans="1:6" ht="12.75">
      <c r="A256" s="2"/>
      <c r="D256" s="99"/>
      <c r="E256" s="99"/>
      <c r="F256" s="99"/>
    </row>
    <row r="257" spans="1:6" ht="12.75">
      <c r="A257" s="2"/>
      <c r="D257" s="99"/>
      <c r="E257" s="99"/>
      <c r="F257" s="99"/>
    </row>
    <row r="258" spans="1:6" ht="12.75">
      <c r="A258" s="2"/>
      <c r="D258" s="99"/>
      <c r="E258" s="99"/>
      <c r="F258" s="99"/>
    </row>
    <row r="259" spans="1:6" ht="12.75">
      <c r="A259" s="2"/>
      <c r="D259" s="99"/>
      <c r="E259" s="99"/>
      <c r="F259" s="99"/>
    </row>
    <row r="260" spans="1:6" ht="12.75">
      <c r="A260" s="2"/>
      <c r="D260" s="99"/>
      <c r="E260" s="99"/>
      <c r="F260" s="99"/>
    </row>
    <row r="261" spans="1:6" ht="12.75">
      <c r="A261" s="2"/>
      <c r="D261" s="99"/>
      <c r="E261" s="99"/>
      <c r="F261" s="99"/>
    </row>
    <row r="262" spans="1:6" ht="12.75">
      <c r="A262" s="2"/>
      <c r="D262" s="99"/>
      <c r="E262" s="99"/>
      <c r="F262" s="99"/>
    </row>
    <row r="263" spans="1:6" ht="12.75">
      <c r="A263" s="2"/>
      <c r="D263" s="99"/>
      <c r="E263" s="99"/>
      <c r="F263" s="99"/>
    </row>
    <row r="264" spans="1:6" ht="12.75">
      <c r="A264" s="2"/>
      <c r="D264" s="99"/>
      <c r="E264" s="99"/>
      <c r="F264" s="99"/>
    </row>
    <row r="265" spans="1:6" ht="12.75">
      <c r="A265" s="2"/>
      <c r="D265" s="99"/>
      <c r="E265" s="99"/>
      <c r="F265" s="99"/>
    </row>
    <row r="266" spans="1:6" ht="12.75">
      <c r="A266" s="2"/>
      <c r="D266" s="99"/>
      <c r="E266" s="99"/>
      <c r="F266" s="99"/>
    </row>
    <row r="267" spans="1:6" ht="12.75">
      <c r="A267" s="2"/>
      <c r="D267" s="99"/>
      <c r="E267" s="99"/>
      <c r="F267" s="99"/>
    </row>
    <row r="268" spans="1:6" ht="12.75">
      <c r="A268" s="2"/>
      <c r="D268" s="99"/>
      <c r="E268" s="99"/>
      <c r="F268" s="99"/>
    </row>
    <row r="269" spans="1:6" ht="12.75">
      <c r="A269" s="2"/>
      <c r="D269" s="99"/>
      <c r="E269" s="99"/>
      <c r="F269" s="99"/>
    </row>
    <row r="270" spans="1:6" ht="12.75">
      <c r="A270" s="2"/>
      <c r="D270" s="99"/>
      <c r="E270" s="99"/>
      <c r="F270" s="99"/>
    </row>
    <row r="271" spans="1:6" ht="12.75">
      <c r="A271" s="2"/>
      <c r="D271" s="99"/>
      <c r="E271" s="99"/>
      <c r="F271" s="99"/>
    </row>
    <row r="272" spans="1:6" ht="12.75">
      <c r="A272" s="2"/>
      <c r="D272" s="99"/>
      <c r="E272" s="99"/>
      <c r="F272" s="99"/>
    </row>
    <row r="273" spans="1:6" ht="12.75">
      <c r="A273" s="2"/>
      <c r="D273" s="99"/>
      <c r="E273" s="99"/>
      <c r="F273" s="99"/>
    </row>
    <row r="274" spans="1:6" ht="12.75">
      <c r="A274" s="2"/>
      <c r="D274" s="99"/>
      <c r="E274" s="99"/>
      <c r="F274" s="99"/>
    </row>
    <row r="275" spans="1:6" ht="12.75">
      <c r="A275" s="2"/>
      <c r="D275" s="99"/>
      <c r="E275" s="99"/>
      <c r="F275" s="99"/>
    </row>
    <row r="276" spans="1:6" ht="12.75">
      <c r="A276" s="2"/>
      <c r="D276" s="99"/>
      <c r="E276" s="99"/>
      <c r="F276" s="99"/>
    </row>
    <row r="277" spans="1:6" ht="12.75">
      <c r="A277" s="2"/>
      <c r="D277" s="99"/>
      <c r="E277" s="99"/>
      <c r="F277" s="99"/>
    </row>
    <row r="278" spans="1:6" ht="12.75">
      <c r="A278" s="2"/>
      <c r="D278" s="99"/>
      <c r="E278" s="99"/>
      <c r="F278" s="99"/>
    </row>
    <row r="279" spans="1:6" ht="12.75">
      <c r="A279" s="2"/>
      <c r="D279" s="99"/>
      <c r="E279" s="99"/>
      <c r="F279" s="99"/>
    </row>
    <row r="280" spans="1:6" ht="12.75">
      <c r="A280" s="2"/>
      <c r="D280" s="99"/>
      <c r="E280" s="99"/>
      <c r="F280" s="99"/>
    </row>
    <row r="281" spans="1:6" ht="12.75">
      <c r="A281" s="2"/>
      <c r="D281" s="99"/>
      <c r="E281" s="99"/>
      <c r="F281" s="99"/>
    </row>
    <row r="282" spans="1:6" ht="12.75">
      <c r="A282" s="2"/>
      <c r="D282" s="99"/>
      <c r="E282" s="99"/>
      <c r="F282" s="99"/>
    </row>
    <row r="283" spans="1:6" ht="12.75">
      <c r="A283" s="2"/>
      <c r="D283" s="99"/>
      <c r="E283" s="99"/>
      <c r="F283" s="99"/>
    </row>
    <row r="284" spans="1:6" ht="12.75">
      <c r="A284" s="2"/>
      <c r="D284" s="99"/>
      <c r="E284" s="99"/>
      <c r="F284" s="99"/>
    </row>
    <row r="285" spans="1:6" ht="12.75">
      <c r="A285" s="2"/>
      <c r="D285" s="99"/>
      <c r="E285" s="99"/>
      <c r="F285" s="99"/>
    </row>
    <row r="286" spans="1:6" ht="12.75">
      <c r="A286" s="2"/>
      <c r="D286" s="99"/>
      <c r="E286" s="99"/>
      <c r="F286" s="99"/>
    </row>
    <row r="287" spans="1:6" ht="12.75">
      <c r="A287" s="2"/>
      <c r="D287" s="99"/>
      <c r="E287" s="99"/>
      <c r="F287" s="99"/>
    </row>
    <row r="288" spans="1:6" ht="12.75">
      <c r="A288" s="2"/>
      <c r="D288" s="99"/>
      <c r="E288" s="99"/>
      <c r="F288" s="99"/>
    </row>
    <row r="289" spans="1:6" ht="12.75">
      <c r="A289" s="2"/>
      <c r="D289" s="99"/>
      <c r="E289" s="99"/>
      <c r="F289" s="99"/>
    </row>
    <row r="290" spans="1:6" ht="12.75">
      <c r="A290" s="2"/>
      <c r="D290" s="99"/>
      <c r="E290" s="99"/>
      <c r="F290" s="99"/>
    </row>
    <row r="291" spans="1:6" ht="12.75">
      <c r="A291" s="2"/>
      <c r="D291" s="99"/>
      <c r="E291" s="99"/>
      <c r="F291" s="99"/>
    </row>
    <row r="292" spans="1:6" ht="12.75">
      <c r="A292" s="2"/>
      <c r="D292" s="99"/>
      <c r="E292" s="99"/>
      <c r="F292" s="99"/>
    </row>
    <row r="293" spans="1:6" ht="12.75">
      <c r="A293" s="2"/>
      <c r="D293" s="99"/>
      <c r="E293" s="99"/>
      <c r="F293" s="99"/>
    </row>
    <row r="294" spans="1:6" ht="12.75">
      <c r="A294" s="2"/>
      <c r="D294" s="99"/>
      <c r="E294" s="99"/>
      <c r="F294" s="99"/>
    </row>
    <row r="295" spans="1:6" ht="12.75">
      <c r="A295" s="2"/>
      <c r="D295" s="99"/>
      <c r="E295" s="99"/>
      <c r="F295" s="99"/>
    </row>
    <row r="296" spans="1:6" ht="12.75">
      <c r="A296" s="2"/>
      <c r="D296" s="99"/>
      <c r="E296" s="99"/>
      <c r="F296" s="99"/>
    </row>
    <row r="297" spans="1:6" ht="12.75">
      <c r="A297" s="2"/>
      <c r="D297" s="99"/>
      <c r="E297" s="99"/>
      <c r="F297" s="99"/>
    </row>
    <row r="298" spans="1:6" ht="12.75">
      <c r="A298" s="2"/>
      <c r="D298" s="99"/>
      <c r="E298" s="99"/>
      <c r="F298" s="99"/>
    </row>
    <row r="299" spans="1:6" ht="12.75">
      <c r="A299" s="2"/>
      <c r="D299" s="99"/>
      <c r="E299" s="99"/>
      <c r="F299" s="99"/>
    </row>
    <row r="300" spans="1:6" ht="12.75">
      <c r="A300" s="2"/>
      <c r="D300" s="99"/>
      <c r="E300" s="99"/>
      <c r="F300" s="99"/>
    </row>
    <row r="301" spans="1:6" ht="12.75">
      <c r="A301" s="2"/>
      <c r="D301" s="99"/>
      <c r="E301" s="99"/>
      <c r="F301" s="99"/>
    </row>
    <row r="302" spans="1:6" ht="12.75">
      <c r="A302" s="2"/>
      <c r="D302" s="99"/>
      <c r="E302" s="99"/>
      <c r="F302" s="99"/>
    </row>
    <row r="303" spans="1:6" ht="12.75">
      <c r="A303" s="2"/>
      <c r="D303" s="99"/>
      <c r="E303" s="99"/>
      <c r="F303" s="99"/>
    </row>
    <row r="304" spans="1:6" ht="12.75">
      <c r="A304" s="2"/>
      <c r="D304" s="99"/>
      <c r="E304" s="99"/>
      <c r="F304" s="99"/>
    </row>
    <row r="305" spans="1:6" ht="12.75">
      <c r="A305" s="2"/>
      <c r="D305" s="99"/>
      <c r="E305" s="99"/>
      <c r="F305" s="99"/>
    </row>
    <row r="306" spans="1:6" ht="12.75">
      <c r="A306" s="2"/>
      <c r="D306" s="99"/>
      <c r="E306" s="99"/>
      <c r="F306" s="99"/>
    </row>
    <row r="307" spans="1:6" ht="12.75">
      <c r="A307" s="2"/>
      <c r="D307" s="99"/>
      <c r="E307" s="99"/>
      <c r="F307" s="99"/>
    </row>
    <row r="308" spans="1:6" ht="12.75">
      <c r="A308" s="2"/>
      <c r="D308" s="99"/>
      <c r="E308" s="99"/>
      <c r="F308" s="99"/>
    </row>
    <row r="309" spans="1:6" ht="12.75">
      <c r="A309" s="2"/>
      <c r="D309" s="99"/>
      <c r="E309" s="99"/>
      <c r="F309" s="99"/>
    </row>
    <row r="310" spans="1:6" ht="12.75">
      <c r="A310" s="2"/>
      <c r="D310" s="99"/>
      <c r="E310" s="99"/>
      <c r="F310" s="99"/>
    </row>
    <row r="311" spans="1:6" ht="12.75">
      <c r="A311" s="2"/>
      <c r="D311" s="99"/>
      <c r="E311" s="99"/>
      <c r="F311" s="99"/>
    </row>
    <row r="312" spans="1:6" ht="12.75">
      <c r="A312" s="2"/>
      <c r="D312" s="99"/>
      <c r="E312" s="99"/>
      <c r="F312" s="99"/>
    </row>
    <row r="313" spans="1:6" ht="12.75">
      <c r="A313" s="2"/>
      <c r="D313" s="99"/>
      <c r="E313" s="99"/>
      <c r="F313" s="99"/>
    </row>
    <row r="314" spans="1:6" ht="12.75">
      <c r="A314" s="2"/>
      <c r="D314" s="99"/>
      <c r="E314" s="99"/>
      <c r="F314" s="99"/>
    </row>
    <row r="315" spans="1:6" ht="12.75">
      <c r="A315" s="2"/>
      <c r="D315" s="99"/>
      <c r="E315" s="99"/>
      <c r="F315" s="99"/>
    </row>
    <row r="316" spans="1:6" ht="12.75">
      <c r="A316" s="2"/>
      <c r="D316" s="99"/>
      <c r="E316" s="99"/>
      <c r="F316" s="99"/>
    </row>
    <row r="317" spans="1:6" ht="12.75">
      <c r="A317" s="2"/>
      <c r="D317" s="99"/>
      <c r="E317" s="99"/>
      <c r="F317" s="99"/>
    </row>
    <row r="318" spans="1:6" ht="12.75">
      <c r="A318" s="2"/>
      <c r="D318" s="99"/>
      <c r="E318" s="99"/>
      <c r="F318" s="99"/>
    </row>
    <row r="319" spans="1:6" ht="12.75">
      <c r="A319" s="2"/>
      <c r="D319" s="99"/>
      <c r="E319" s="99"/>
      <c r="F319" s="99"/>
    </row>
    <row r="320" spans="1:6" ht="12.75">
      <c r="A320" s="2"/>
      <c r="D320" s="99"/>
      <c r="E320" s="99"/>
      <c r="F320" s="99"/>
    </row>
    <row r="321" spans="1:6" ht="12.75">
      <c r="A321" s="2"/>
      <c r="D321" s="99"/>
      <c r="E321" s="99"/>
      <c r="F321" s="99"/>
    </row>
    <row r="322" spans="1:6" ht="12.75">
      <c r="A322" s="2"/>
      <c r="D322" s="99"/>
      <c r="E322" s="99"/>
      <c r="F322" s="99"/>
    </row>
    <row r="323" spans="1:6" ht="12.75">
      <c r="A323" s="2"/>
      <c r="D323" s="99"/>
      <c r="E323" s="99"/>
      <c r="F323" s="99"/>
    </row>
    <row r="324" spans="1:6" ht="12.75">
      <c r="A324" s="2"/>
      <c r="D324" s="99"/>
      <c r="E324" s="99"/>
      <c r="F324" s="99"/>
    </row>
    <row r="325" spans="1:6" ht="12.75">
      <c r="A325" s="2"/>
      <c r="D325" s="99"/>
      <c r="E325" s="99"/>
      <c r="F325" s="99"/>
    </row>
    <row r="326" spans="1:6" ht="12.75">
      <c r="A326" s="2"/>
      <c r="D326" s="99"/>
      <c r="E326" s="99"/>
      <c r="F326" s="99"/>
    </row>
    <row r="327" spans="1:6" ht="12.75">
      <c r="A327" s="2"/>
      <c r="D327" s="99"/>
      <c r="E327" s="99"/>
      <c r="F327" s="99"/>
    </row>
    <row r="328" spans="1:6" ht="12.75">
      <c r="A328" s="2"/>
      <c r="D328" s="99"/>
      <c r="E328" s="99"/>
      <c r="F328" s="99"/>
    </row>
    <row r="329" spans="1:6" ht="12.75">
      <c r="A329" s="2"/>
      <c r="D329" s="99"/>
      <c r="E329" s="99"/>
      <c r="F329" s="99"/>
    </row>
    <row r="330" spans="1:6" ht="12.75">
      <c r="A330" s="2"/>
      <c r="D330" s="99"/>
      <c r="E330" s="99"/>
      <c r="F330" s="99"/>
    </row>
    <row r="331" spans="1:6" ht="12.75">
      <c r="A331" s="2"/>
      <c r="D331" s="99"/>
      <c r="E331" s="99"/>
      <c r="F331" s="99"/>
    </row>
    <row r="332" spans="1:6" ht="12.75">
      <c r="A332" s="2"/>
      <c r="D332" s="99"/>
      <c r="E332" s="99"/>
      <c r="F332" s="99"/>
    </row>
    <row r="333" spans="1:6" ht="12.75">
      <c r="A333" s="2"/>
      <c r="D333" s="99"/>
      <c r="E333" s="99"/>
      <c r="F333" s="99"/>
    </row>
    <row r="334" spans="1:6" ht="12.75">
      <c r="A334" s="2"/>
      <c r="D334" s="99"/>
      <c r="E334" s="99"/>
      <c r="F334" s="99"/>
    </row>
    <row r="335" spans="1:6" ht="12.75">
      <c r="A335" s="2"/>
      <c r="D335" s="99"/>
      <c r="E335" s="99"/>
      <c r="F335" s="99"/>
    </row>
    <row r="336" spans="1:6" ht="12.75">
      <c r="A336" s="2"/>
      <c r="D336" s="99"/>
      <c r="E336" s="99"/>
      <c r="F336" s="99"/>
    </row>
    <row r="337" spans="1:6" ht="12.75">
      <c r="A337" s="2"/>
      <c r="D337" s="99"/>
      <c r="E337" s="99"/>
      <c r="F337" s="99"/>
    </row>
    <row r="338" spans="1:6" ht="12.75">
      <c r="A338" s="2"/>
      <c r="D338" s="99"/>
      <c r="E338" s="99"/>
      <c r="F338" s="99"/>
    </row>
    <row r="339" spans="1:6" ht="12.75">
      <c r="A339" s="2"/>
      <c r="D339" s="99"/>
      <c r="E339" s="99"/>
      <c r="F339" s="99"/>
    </row>
    <row r="340" spans="1:6" ht="12.75">
      <c r="A340" s="2"/>
      <c r="D340" s="99"/>
      <c r="E340" s="99"/>
      <c r="F340" s="99"/>
    </row>
    <row r="341" spans="1:6" ht="12.75">
      <c r="A341" s="2"/>
      <c r="D341" s="99"/>
      <c r="E341" s="99"/>
      <c r="F341" s="99"/>
    </row>
    <row r="342" spans="1:6" ht="12.75">
      <c r="A342" s="2"/>
      <c r="D342" s="99"/>
      <c r="E342" s="99"/>
      <c r="F342" s="99"/>
    </row>
    <row r="343" spans="1:6" ht="12.75">
      <c r="A343" s="2"/>
      <c r="D343" s="99"/>
      <c r="E343" s="99"/>
      <c r="F343" s="99"/>
    </row>
    <row r="344" spans="1:6" ht="12.75">
      <c r="A344" s="2"/>
      <c r="D344" s="99"/>
      <c r="E344" s="99"/>
      <c r="F344" s="99"/>
    </row>
    <row r="345" spans="1:6" ht="12.75">
      <c r="A345" s="2"/>
      <c r="D345" s="99"/>
      <c r="E345" s="99"/>
      <c r="F345" s="99"/>
    </row>
    <row r="346" spans="1:6" ht="12.75">
      <c r="A346" s="2"/>
      <c r="D346" s="99"/>
      <c r="E346" s="99"/>
      <c r="F346" s="99"/>
    </row>
    <row r="347" spans="1:6" ht="12.75">
      <c r="A347" s="2"/>
      <c r="D347" s="99"/>
      <c r="E347" s="99"/>
      <c r="F347" s="99"/>
    </row>
    <row r="348" spans="1:6" ht="12.75">
      <c r="A348" s="2"/>
      <c r="D348" s="99"/>
      <c r="E348" s="99"/>
      <c r="F348" s="99"/>
    </row>
    <row r="349" spans="1:6" ht="12.75">
      <c r="A349" s="2"/>
      <c r="D349" s="99"/>
      <c r="E349" s="99"/>
      <c r="F349" s="99"/>
    </row>
    <row r="350" spans="1:6" ht="12.75">
      <c r="A350" s="2"/>
      <c r="D350" s="99"/>
      <c r="E350" s="99"/>
      <c r="F350" s="99"/>
    </row>
    <row r="351" spans="1:6" ht="12.75">
      <c r="A351" s="2"/>
      <c r="D351" s="99"/>
      <c r="E351" s="99"/>
      <c r="F351" s="99"/>
    </row>
    <row r="352" spans="1:6" ht="12.75">
      <c r="A352" s="2"/>
      <c r="D352" s="99"/>
      <c r="E352" s="99"/>
      <c r="F352" s="99"/>
    </row>
    <row r="353" spans="1:6" ht="12.75">
      <c r="A353" s="2"/>
      <c r="D353" s="99"/>
      <c r="E353" s="99"/>
      <c r="F353" s="99"/>
    </row>
    <row r="354" spans="1:6" ht="12.75">
      <c r="A354" s="2"/>
      <c r="D354" s="99"/>
      <c r="E354" s="99"/>
      <c r="F354" s="99"/>
    </row>
    <row r="355" spans="1:6" ht="12.75">
      <c r="A355" s="2"/>
      <c r="D355" s="99"/>
      <c r="E355" s="99"/>
      <c r="F355" s="99"/>
    </row>
    <row r="356" spans="1:6" ht="12.75">
      <c r="A356" s="2"/>
      <c r="D356" s="99"/>
      <c r="E356" s="99"/>
      <c r="F356" s="99"/>
    </row>
    <row r="357" spans="1:6" ht="12.75">
      <c r="A357" s="2"/>
      <c r="D357" s="99"/>
      <c r="E357" s="99"/>
      <c r="F357" s="99"/>
    </row>
    <row r="358" spans="1:6" ht="12.75">
      <c r="A358" s="2"/>
      <c r="D358" s="99"/>
      <c r="E358" s="99"/>
      <c r="F358" s="99"/>
    </row>
    <row r="359" spans="1:6" ht="12.75">
      <c r="A359" s="2"/>
      <c r="D359" s="99"/>
      <c r="E359" s="99"/>
      <c r="F359" s="99"/>
    </row>
    <row r="360" spans="1:6" ht="12.75">
      <c r="A360" s="2"/>
      <c r="D360" s="99"/>
      <c r="E360" s="99"/>
      <c r="F360" s="99"/>
    </row>
    <row r="361" spans="1:6" ht="12.75">
      <c r="A361" s="2"/>
      <c r="D361" s="99"/>
      <c r="E361" s="99"/>
      <c r="F361" s="99"/>
    </row>
    <row r="362" spans="1:6" ht="12.75">
      <c r="A362" s="2"/>
      <c r="D362" s="99"/>
      <c r="E362" s="99"/>
      <c r="F362" s="99"/>
    </row>
    <row r="363" spans="1:6" ht="12.75">
      <c r="A363" s="2"/>
      <c r="D363" s="99"/>
      <c r="E363" s="99"/>
      <c r="F363" s="99"/>
    </row>
    <row r="364" spans="1:6" ht="12.75">
      <c r="A364" s="2"/>
      <c r="D364" s="99"/>
      <c r="E364" s="99"/>
      <c r="F364" s="99"/>
    </row>
    <row r="365" spans="1:6" ht="12.75">
      <c r="A365" s="2"/>
      <c r="D365" s="99"/>
      <c r="E365" s="99"/>
      <c r="F365" s="99"/>
    </row>
    <row r="366" spans="1:6" ht="12.75">
      <c r="A366" s="2"/>
      <c r="D366" s="99"/>
      <c r="E366" s="99"/>
      <c r="F366" s="99"/>
    </row>
    <row r="367" spans="1:6" ht="12.75">
      <c r="A367" s="2"/>
      <c r="D367" s="99"/>
      <c r="E367" s="99"/>
      <c r="F367" s="99"/>
    </row>
    <row r="368" spans="1:6" ht="12.75">
      <c r="A368" s="2"/>
      <c r="D368" s="99"/>
      <c r="E368" s="99"/>
      <c r="F368" s="99"/>
    </row>
    <row r="369" spans="1:6" ht="12.75">
      <c r="A369" s="2"/>
      <c r="D369" s="99"/>
      <c r="E369" s="99"/>
      <c r="F369" s="99"/>
    </row>
    <row r="370" spans="1:6" ht="12.75">
      <c r="A370" s="2"/>
      <c r="D370" s="99"/>
      <c r="E370" s="99"/>
      <c r="F370" s="99"/>
    </row>
    <row r="371" spans="1:6" ht="12.75">
      <c r="A371" s="2"/>
      <c r="D371" s="99"/>
      <c r="E371" s="99"/>
      <c r="F371" s="99"/>
    </row>
    <row r="372" spans="1:6" ht="12.75">
      <c r="A372" s="2"/>
      <c r="D372" s="99"/>
      <c r="E372" s="99"/>
      <c r="F372" s="99"/>
    </row>
    <row r="373" spans="1:6" ht="12.75">
      <c r="A373" s="2"/>
      <c r="D373" s="99"/>
      <c r="E373" s="99"/>
      <c r="F373" s="99"/>
    </row>
    <row r="374" spans="1:6" ht="12.75">
      <c r="A374" s="2"/>
      <c r="D374" s="99"/>
      <c r="E374" s="99"/>
      <c r="F374" s="99"/>
    </row>
    <row r="375" spans="1:6" ht="12.75">
      <c r="A375" s="2"/>
      <c r="D375" s="99"/>
      <c r="E375" s="99"/>
      <c r="F375" s="99"/>
    </row>
    <row r="376" spans="1:6" ht="12.75">
      <c r="A376" s="2"/>
      <c r="D376" s="99"/>
      <c r="E376" s="99"/>
      <c r="F376" s="99"/>
    </row>
    <row r="377" spans="1:6" ht="12.75">
      <c r="A377" s="2"/>
      <c r="D377" s="99"/>
      <c r="E377" s="99"/>
      <c r="F377" s="99"/>
    </row>
    <row r="378" spans="1:6" ht="12.75">
      <c r="A378" s="2"/>
      <c r="D378" s="99"/>
      <c r="E378" s="99"/>
      <c r="F378" s="99"/>
    </row>
    <row r="379" spans="1:6" ht="12.75">
      <c r="A379" s="2"/>
      <c r="D379" s="99"/>
      <c r="E379" s="99"/>
      <c r="F379" s="99"/>
    </row>
    <row r="380" spans="1:6" ht="12.75">
      <c r="A380" s="2"/>
      <c r="D380" s="99"/>
      <c r="E380" s="99"/>
      <c r="F380" s="99"/>
    </row>
    <row r="381" spans="1:6" ht="12.75">
      <c r="A381" s="2"/>
      <c r="D381" s="99"/>
      <c r="E381" s="99"/>
      <c r="F381" s="99"/>
    </row>
    <row r="382" spans="1:6" ht="12.75">
      <c r="A382" s="2"/>
      <c r="D382" s="99"/>
      <c r="E382" s="99"/>
      <c r="F382" s="99"/>
    </row>
    <row r="383" spans="1:6" ht="12.75">
      <c r="A383" s="2"/>
      <c r="D383" s="99"/>
      <c r="E383" s="99"/>
      <c r="F383" s="99"/>
    </row>
    <row r="384" spans="1:6" ht="12.75">
      <c r="A384" s="2"/>
      <c r="D384" s="99"/>
      <c r="E384" s="99"/>
      <c r="F384" s="99"/>
    </row>
    <row r="385" spans="1:6" ht="12.75">
      <c r="A385" s="2"/>
      <c r="D385" s="99"/>
      <c r="E385" s="99"/>
      <c r="F385" s="99"/>
    </row>
    <row r="386" spans="1:6" ht="12.75">
      <c r="A386" s="2"/>
      <c r="D386" s="99"/>
      <c r="E386" s="99"/>
      <c r="F386" s="99"/>
    </row>
    <row r="387" spans="1:6" ht="12.75">
      <c r="A387" s="2"/>
      <c r="D387" s="99"/>
      <c r="E387" s="99"/>
      <c r="F387" s="99"/>
    </row>
    <row r="388" spans="1:6" ht="12.75">
      <c r="A388" s="2"/>
      <c r="D388" s="99"/>
      <c r="E388" s="99"/>
      <c r="F388" s="99"/>
    </row>
    <row r="389" spans="1:6" ht="12.75">
      <c r="A389" s="2"/>
      <c r="D389" s="99"/>
      <c r="E389" s="99"/>
      <c r="F389" s="99"/>
    </row>
    <row r="390" spans="1:6" ht="12.75">
      <c r="A390" s="2"/>
      <c r="D390" s="99"/>
      <c r="E390" s="99"/>
      <c r="F390" s="99"/>
    </row>
    <row r="391" spans="1:6" ht="12.75">
      <c r="A391" s="2"/>
      <c r="D391" s="99"/>
      <c r="E391" s="99"/>
      <c r="F391" s="99"/>
    </row>
    <row r="392" spans="1:6" ht="12.75">
      <c r="A392" s="2"/>
      <c r="D392" s="99"/>
      <c r="E392" s="99"/>
      <c r="F392" s="99"/>
    </row>
    <row r="393" spans="1:6" ht="12.75">
      <c r="A393" s="2"/>
      <c r="D393" s="99"/>
      <c r="E393" s="99"/>
      <c r="F393" s="99"/>
    </row>
    <row r="394" spans="1:6" ht="12.75">
      <c r="A394" s="2"/>
      <c r="D394" s="99"/>
      <c r="E394" s="99"/>
      <c r="F394" s="99"/>
    </row>
    <row r="395" spans="1:6" ht="12.75">
      <c r="A395" s="2"/>
      <c r="D395" s="99"/>
      <c r="E395" s="99"/>
      <c r="F395" s="99"/>
    </row>
    <row r="396" spans="1:6" ht="12.75">
      <c r="A396" s="2"/>
      <c r="D396" s="99"/>
      <c r="E396" s="99"/>
      <c r="F396" s="99"/>
    </row>
    <row r="397" spans="1:6" ht="12.75">
      <c r="A397" s="2"/>
      <c r="D397" s="99"/>
      <c r="E397" s="99"/>
      <c r="F397" s="99"/>
    </row>
    <row r="398" spans="1:6" ht="12.75">
      <c r="A398" s="2"/>
      <c r="D398" s="99"/>
      <c r="E398" s="99"/>
      <c r="F398" s="99"/>
    </row>
    <row r="399" spans="1:6" ht="12.75">
      <c r="A399" s="2"/>
      <c r="D399" s="99"/>
      <c r="E399" s="99"/>
      <c r="F399" s="99"/>
    </row>
    <row r="400" spans="1:6" ht="12.75">
      <c r="A400" s="2"/>
      <c r="D400" s="99"/>
      <c r="E400" s="99"/>
      <c r="F400" s="99"/>
    </row>
    <row r="401" spans="1:6" ht="12.75">
      <c r="A401" s="2"/>
      <c r="D401" s="99"/>
      <c r="E401" s="99"/>
      <c r="F401" s="99"/>
    </row>
    <row r="402" spans="1:6" ht="12.75">
      <c r="A402" s="2"/>
      <c r="D402" s="99"/>
      <c r="E402" s="99"/>
      <c r="F402" s="99"/>
    </row>
    <row r="403" spans="1:6" ht="12.75">
      <c r="A403" s="2"/>
      <c r="D403" s="99"/>
      <c r="E403" s="99"/>
      <c r="F403" s="99"/>
    </row>
    <row r="404" spans="1:6" ht="12.75">
      <c r="A404" s="2"/>
      <c r="D404" s="99"/>
      <c r="E404" s="99"/>
      <c r="F404" s="99"/>
    </row>
    <row r="405" spans="1:6" ht="12.75">
      <c r="A405" s="2"/>
      <c r="D405" s="99"/>
      <c r="E405" s="99"/>
      <c r="F405" s="99"/>
    </row>
    <row r="406" spans="1:6" ht="12.75">
      <c r="A406" s="2"/>
      <c r="D406" s="99"/>
      <c r="E406" s="99"/>
      <c r="F406" s="99"/>
    </row>
    <row r="407" spans="1:6" ht="12.75">
      <c r="A407" s="2"/>
      <c r="D407" s="99"/>
      <c r="E407" s="99"/>
      <c r="F407" s="99"/>
    </row>
    <row r="408" spans="1:6" ht="12.75">
      <c r="A408" s="2"/>
      <c r="D408" s="99"/>
      <c r="E408" s="99"/>
      <c r="F408" s="99"/>
    </row>
    <row r="409" spans="1:6" ht="12.75">
      <c r="A409" s="2"/>
      <c r="D409" s="99"/>
      <c r="E409" s="99"/>
      <c r="F409" s="99"/>
    </row>
    <row r="410" spans="1:6" ht="12.75">
      <c r="A410" s="2"/>
      <c r="D410" s="99"/>
      <c r="E410" s="99"/>
      <c r="F410" s="99"/>
    </row>
    <row r="411" spans="1:6" ht="12.75">
      <c r="A411" s="2"/>
      <c r="D411" s="99"/>
      <c r="E411" s="99"/>
      <c r="F411" s="99"/>
    </row>
    <row r="412" spans="1:6" ht="12.75">
      <c r="A412" s="2"/>
      <c r="D412" s="99"/>
      <c r="E412" s="99"/>
      <c r="F412" s="99"/>
    </row>
    <row r="413" spans="1:6" ht="12.75">
      <c r="A413" s="2"/>
      <c r="D413" s="99"/>
      <c r="E413" s="99"/>
      <c r="F413" s="99"/>
    </row>
    <row r="414" spans="1:6" ht="12.75">
      <c r="A414" s="2"/>
      <c r="D414" s="99"/>
      <c r="E414" s="99"/>
      <c r="F414" s="99"/>
    </row>
    <row r="415" spans="1:6" ht="12.75">
      <c r="A415" s="2"/>
      <c r="D415" s="99"/>
      <c r="E415" s="99"/>
      <c r="F415" s="99"/>
    </row>
    <row r="416" spans="1:6" ht="12.75">
      <c r="A416" s="2"/>
      <c r="D416" s="99"/>
      <c r="E416" s="99"/>
      <c r="F416" s="99"/>
    </row>
    <row r="417" spans="1:6" ht="12.75">
      <c r="A417" s="2"/>
      <c r="D417" s="99"/>
      <c r="E417" s="99"/>
      <c r="F417" s="99"/>
    </row>
    <row r="418" spans="1:6" ht="12.75">
      <c r="A418" s="2"/>
      <c r="D418" s="99"/>
      <c r="E418" s="99"/>
      <c r="F418" s="99"/>
    </row>
    <row r="419" spans="1:6" ht="12.75">
      <c r="A419" s="2"/>
      <c r="D419" s="99"/>
      <c r="E419" s="99"/>
      <c r="F419" s="99"/>
    </row>
    <row r="420" spans="1:6" ht="12.75">
      <c r="A420" s="2"/>
      <c r="D420" s="99"/>
      <c r="E420" s="99"/>
      <c r="F420" s="99"/>
    </row>
    <row r="421" spans="1:6" ht="12.75">
      <c r="A421" s="2"/>
      <c r="D421" s="99"/>
      <c r="E421" s="99"/>
      <c r="F421" s="99"/>
    </row>
    <row r="422" spans="1:6" ht="12.75">
      <c r="A422" s="2"/>
      <c r="D422" s="99"/>
      <c r="E422" s="99"/>
      <c r="F422" s="99"/>
    </row>
    <row r="423" spans="1:6" ht="12.75">
      <c r="A423" s="2"/>
      <c r="D423" s="99"/>
      <c r="E423" s="99"/>
      <c r="F423" s="99"/>
    </row>
    <row r="424" spans="1:6" ht="12.75">
      <c r="A424" s="2"/>
      <c r="D424" s="99"/>
      <c r="E424" s="99"/>
      <c r="F424" s="99"/>
    </row>
    <row r="425" spans="1:6" ht="12.75">
      <c r="A425" s="2"/>
      <c r="D425" s="99"/>
      <c r="E425" s="99"/>
      <c r="F425" s="99"/>
    </row>
    <row r="426" spans="1:6" ht="12.75">
      <c r="A426" s="2"/>
      <c r="D426" s="99"/>
      <c r="E426" s="99"/>
      <c r="F426" s="99"/>
    </row>
    <row r="427" spans="1:6" ht="12.75">
      <c r="A427" s="2"/>
      <c r="D427" s="99"/>
      <c r="E427" s="99"/>
      <c r="F427" s="99"/>
    </row>
    <row r="428" spans="1:6" ht="12.75">
      <c r="A428" s="2"/>
      <c r="D428" s="99"/>
      <c r="E428" s="99"/>
      <c r="F428" s="99"/>
    </row>
    <row r="429" spans="1:6" ht="12.75">
      <c r="A429" s="2"/>
      <c r="D429" s="99"/>
      <c r="E429" s="99"/>
      <c r="F429" s="99"/>
    </row>
    <row r="430" spans="1:6" ht="12.75">
      <c r="A430" s="2"/>
      <c r="D430" s="99"/>
      <c r="E430" s="99"/>
      <c r="F430" s="99"/>
    </row>
    <row r="431" spans="1:6" ht="12.75">
      <c r="A431" s="2"/>
      <c r="D431" s="99"/>
      <c r="E431" s="99"/>
      <c r="F431" s="99"/>
    </row>
    <row r="432" spans="1:6" ht="12.75">
      <c r="A432" s="2"/>
      <c r="D432" s="99"/>
      <c r="E432" s="99"/>
      <c r="F432" s="99"/>
    </row>
    <row r="433" spans="1:6" ht="12.75">
      <c r="A433" s="2"/>
      <c r="D433" s="99"/>
      <c r="E433" s="99"/>
      <c r="F433" s="99"/>
    </row>
    <row r="434" spans="1:6" ht="12.75">
      <c r="A434" s="2"/>
      <c r="D434" s="99"/>
      <c r="E434" s="99"/>
      <c r="F434" s="99"/>
    </row>
    <row r="435" spans="1:6" ht="12.75">
      <c r="A435" s="2"/>
      <c r="D435" s="99"/>
      <c r="E435" s="99"/>
      <c r="F435" s="99"/>
    </row>
    <row r="436" spans="1:6" ht="12.75">
      <c r="A436" s="2"/>
      <c r="D436" s="99"/>
      <c r="E436" s="99"/>
      <c r="F436" s="99"/>
    </row>
    <row r="437" spans="1:6" ht="12.75">
      <c r="A437" s="2"/>
      <c r="D437" s="99"/>
      <c r="E437" s="99"/>
      <c r="F437" s="99"/>
    </row>
    <row r="438" spans="1:6" ht="12.75">
      <c r="A438" s="2"/>
      <c r="D438" s="99"/>
      <c r="E438" s="99"/>
      <c r="F438" s="99"/>
    </row>
    <row r="439" spans="1:6" ht="12.75">
      <c r="A439" s="2"/>
      <c r="D439" s="99"/>
      <c r="E439" s="99"/>
      <c r="F439" s="99"/>
    </row>
    <row r="440" spans="1:6" ht="12.75">
      <c r="A440" s="2"/>
      <c r="D440" s="99"/>
      <c r="E440" s="99"/>
      <c r="F440" s="99"/>
    </row>
    <row r="441" spans="1:6" ht="12.75">
      <c r="A441" s="2"/>
      <c r="D441" s="99"/>
      <c r="E441" s="99"/>
      <c r="F441" s="99"/>
    </row>
    <row r="442" spans="1:6" ht="12.75">
      <c r="A442" s="2"/>
      <c r="D442" s="99"/>
      <c r="E442" s="99"/>
      <c r="F442" s="99"/>
    </row>
    <row r="443" spans="1:6" ht="12.75">
      <c r="A443" s="2"/>
      <c r="D443" s="99"/>
      <c r="E443" s="99"/>
      <c r="F443" s="99"/>
    </row>
    <row r="444" spans="1:6" ht="12.75">
      <c r="A444" s="2"/>
      <c r="D444" s="99"/>
      <c r="E444" s="99"/>
      <c r="F444" s="99"/>
    </row>
    <row r="445" spans="1:6" ht="12.75">
      <c r="A445" s="2"/>
      <c r="D445" s="99"/>
      <c r="E445" s="99"/>
      <c r="F445" s="99"/>
    </row>
    <row r="446" spans="1:6" ht="12.75">
      <c r="A446" s="2"/>
      <c r="D446" s="99"/>
      <c r="E446" s="99"/>
      <c r="F446" s="99"/>
    </row>
    <row r="447" spans="1:6" ht="12.75">
      <c r="A447" s="2"/>
      <c r="D447" s="99"/>
      <c r="E447" s="99"/>
      <c r="F447" s="99"/>
    </row>
    <row r="448" spans="1:6" ht="12.75">
      <c r="A448" s="2"/>
      <c r="D448" s="99"/>
      <c r="E448" s="99"/>
      <c r="F448" s="99"/>
    </row>
    <row r="449" spans="1:6" ht="12.75">
      <c r="A449" s="2"/>
      <c r="D449" s="99"/>
      <c r="E449" s="99"/>
      <c r="F449" s="99"/>
    </row>
    <row r="450" spans="1:6" ht="12.75">
      <c r="A450" s="2"/>
      <c r="D450" s="99"/>
      <c r="E450" s="99"/>
      <c r="F450" s="99"/>
    </row>
    <row r="451" spans="1:6" ht="12.75">
      <c r="A451" s="2"/>
      <c r="D451" s="99"/>
      <c r="E451" s="99"/>
      <c r="F451" s="99"/>
    </row>
    <row r="452" spans="1:6" ht="12.75">
      <c r="A452" s="2"/>
      <c r="D452" s="99"/>
      <c r="E452" s="99"/>
      <c r="F452" s="99"/>
    </row>
    <row r="453" spans="1:6" ht="12.75">
      <c r="A453" s="2"/>
      <c r="D453" s="99"/>
      <c r="E453" s="99"/>
      <c r="F453" s="99"/>
    </row>
    <row r="454" spans="1:6" ht="12.75">
      <c r="A454" s="2"/>
      <c r="D454" s="99"/>
      <c r="E454" s="99"/>
      <c r="F454" s="99"/>
    </row>
    <row r="455" spans="1:6" ht="12.75">
      <c r="A455" s="2"/>
      <c r="D455" s="99"/>
      <c r="E455" s="99"/>
      <c r="F455" s="99"/>
    </row>
    <row r="456" spans="1:6" ht="12.75">
      <c r="A456" s="2"/>
      <c r="D456" s="99"/>
      <c r="E456" s="99"/>
      <c r="F456" s="99"/>
    </row>
    <row r="457" spans="1:6" ht="12.75">
      <c r="A457" s="2"/>
      <c r="D457" s="99"/>
      <c r="E457" s="99"/>
      <c r="F457" s="99"/>
    </row>
    <row r="458" spans="1:6" ht="12.75">
      <c r="A458" s="2"/>
      <c r="D458" s="99"/>
      <c r="E458" s="99"/>
      <c r="F458" s="99"/>
    </row>
    <row r="459" spans="1:6" ht="12.75">
      <c r="A459" s="2"/>
      <c r="D459" s="99"/>
      <c r="E459" s="99"/>
      <c r="F459" s="99"/>
    </row>
    <row r="460" spans="1:6" ht="12.75">
      <c r="A460" s="2"/>
      <c r="D460" s="99"/>
      <c r="E460" s="99"/>
      <c r="F460" s="99"/>
    </row>
    <row r="461" spans="1:6" ht="12.75">
      <c r="A461" s="2"/>
      <c r="D461" s="99"/>
      <c r="E461" s="99"/>
      <c r="F461" s="99"/>
    </row>
    <row r="462" spans="1:6" ht="12.75">
      <c r="A462" s="2"/>
      <c r="D462" s="99"/>
      <c r="E462" s="99"/>
      <c r="F462" s="99"/>
    </row>
    <row r="463" spans="1:6" ht="12.75">
      <c r="A463" s="2"/>
      <c r="D463" s="99"/>
      <c r="E463" s="99"/>
      <c r="F463" s="99"/>
    </row>
    <row r="464" spans="1:6" ht="12.75">
      <c r="A464" s="2"/>
      <c r="D464" s="99"/>
      <c r="E464" s="99"/>
      <c r="F464" s="99"/>
    </row>
    <row r="465" spans="1:6" ht="12.75">
      <c r="A465" s="2"/>
      <c r="D465" s="99"/>
      <c r="E465" s="99"/>
      <c r="F465" s="99"/>
    </row>
    <row r="466" spans="1:6" ht="12.75">
      <c r="A466" s="2"/>
      <c r="D466" s="99"/>
      <c r="E466" s="99"/>
      <c r="F466" s="99"/>
    </row>
    <row r="467" spans="1:6" ht="12.75">
      <c r="A467" s="2"/>
      <c r="D467" s="99"/>
      <c r="E467" s="99"/>
      <c r="F467" s="99"/>
    </row>
    <row r="468" spans="1:6" ht="12.75">
      <c r="A468" s="2"/>
      <c r="D468" s="99"/>
      <c r="E468" s="99"/>
      <c r="F468" s="99"/>
    </row>
    <row r="469" spans="1:6" ht="12.75">
      <c r="A469" s="2"/>
      <c r="D469" s="99"/>
      <c r="E469" s="99"/>
      <c r="F469" s="99"/>
    </row>
    <row r="470" spans="1:6" ht="12.75">
      <c r="A470" s="2"/>
      <c r="D470" s="99"/>
      <c r="E470" s="99"/>
      <c r="F470" s="99"/>
    </row>
    <row r="471" spans="1:6" ht="12.75">
      <c r="A471" s="2"/>
      <c r="D471" s="99"/>
      <c r="E471" s="99"/>
      <c r="F471" s="99"/>
    </row>
    <row r="472" spans="1:6" ht="12.75">
      <c r="A472" s="2"/>
      <c r="D472" s="99"/>
      <c r="E472" s="99"/>
      <c r="F472" s="99"/>
    </row>
    <row r="473" spans="1:6" ht="12.75">
      <c r="A473" s="2"/>
      <c r="D473" s="99"/>
      <c r="E473" s="99"/>
      <c r="F473" s="99"/>
    </row>
    <row r="474" spans="1:6" ht="12.75">
      <c r="A474" s="2"/>
      <c r="D474" s="99"/>
      <c r="E474" s="99"/>
      <c r="F474" s="99"/>
    </row>
    <row r="475" spans="1:6" ht="12.75">
      <c r="A475" s="2"/>
      <c r="D475" s="99"/>
      <c r="E475" s="99"/>
      <c r="F475" s="99"/>
    </row>
    <row r="476" spans="1:6" ht="12.75">
      <c r="A476" s="2"/>
      <c r="D476" s="99"/>
      <c r="E476" s="99"/>
      <c r="F476" s="99"/>
    </row>
    <row r="477" spans="1:6" ht="12.75">
      <c r="A477" s="2"/>
      <c r="D477" s="99"/>
      <c r="E477" s="99"/>
      <c r="F477" s="99"/>
    </row>
    <row r="478" spans="1:6" ht="12.75">
      <c r="A478" s="2"/>
      <c r="D478" s="99"/>
      <c r="E478" s="99"/>
      <c r="F478" s="99"/>
    </row>
    <row r="479" spans="1:6" ht="12.75">
      <c r="A479" s="2"/>
      <c r="D479" s="99"/>
      <c r="E479" s="99"/>
      <c r="F479" s="99"/>
    </row>
    <row r="480" spans="1:6" ht="12.75">
      <c r="A480" s="2"/>
      <c r="D480" s="99"/>
      <c r="E480" s="99"/>
      <c r="F480" s="99"/>
    </row>
    <row r="481" spans="1:6" ht="12.75">
      <c r="A481" s="2"/>
      <c r="D481" s="99"/>
      <c r="E481" s="99"/>
      <c r="F481" s="99"/>
    </row>
    <row r="482" spans="1:6" ht="12.75">
      <c r="A482" s="2"/>
      <c r="D482" s="99"/>
      <c r="E482" s="99"/>
      <c r="F482" s="99"/>
    </row>
    <row r="483" spans="1:6" ht="12.75">
      <c r="A483" s="2"/>
      <c r="D483" s="99"/>
      <c r="E483" s="99"/>
      <c r="F483" s="99"/>
    </row>
    <row r="484" spans="1:6" ht="12.75">
      <c r="A484" s="2"/>
      <c r="D484" s="99"/>
      <c r="E484" s="99"/>
      <c r="F484" s="99"/>
    </row>
    <row r="485" spans="1:6" ht="12.75">
      <c r="A485" s="2"/>
      <c r="D485" s="99"/>
      <c r="E485" s="99"/>
      <c r="F485" s="99"/>
    </row>
    <row r="486" spans="1:6" ht="12.75">
      <c r="A486" s="2"/>
      <c r="D486" s="99"/>
      <c r="E486" s="99"/>
      <c r="F486" s="99"/>
    </row>
    <row r="487" spans="1:6" ht="12.75">
      <c r="A487" s="2"/>
      <c r="D487" s="99"/>
      <c r="E487" s="99"/>
      <c r="F487" s="99"/>
    </row>
    <row r="488" spans="1:6" ht="12.75">
      <c r="A488" s="2"/>
      <c r="D488" s="99"/>
      <c r="E488" s="99"/>
      <c r="F488" s="99"/>
    </row>
    <row r="489" spans="1:6" ht="12.75">
      <c r="A489" s="2"/>
      <c r="D489" s="99"/>
      <c r="E489" s="99"/>
      <c r="F489" s="99"/>
    </row>
    <row r="490" spans="1:6" ht="12.75">
      <c r="A490" s="2"/>
      <c r="D490" s="99"/>
      <c r="E490" s="99"/>
      <c r="F490" s="99"/>
    </row>
    <row r="491" spans="1:6" ht="12.75">
      <c r="A491" s="2"/>
      <c r="D491" s="99"/>
      <c r="E491" s="99"/>
      <c r="F491" s="99"/>
    </row>
    <row r="492" spans="1:6" ht="12.75">
      <c r="A492" s="2"/>
      <c r="D492" s="99"/>
      <c r="E492" s="99"/>
      <c r="F492" s="99"/>
    </row>
    <row r="493" spans="1:6" ht="12.75">
      <c r="A493" s="2"/>
      <c r="D493" s="99"/>
      <c r="E493" s="99"/>
      <c r="F493" s="99"/>
    </row>
    <row r="494" spans="1:6" ht="12.75">
      <c r="A494" s="2"/>
      <c r="D494" s="99"/>
      <c r="E494" s="99"/>
      <c r="F494" s="99"/>
    </row>
    <row r="495" spans="1:6" ht="12.75">
      <c r="A495" s="2"/>
      <c r="D495" s="99"/>
      <c r="E495" s="99"/>
      <c r="F495" s="99"/>
    </row>
    <row r="496" spans="1:6" ht="12.75">
      <c r="A496" s="2"/>
      <c r="D496" s="99"/>
      <c r="E496" s="99"/>
      <c r="F496" s="99"/>
    </row>
    <row r="497" spans="1:6" ht="12.75">
      <c r="A497" s="2"/>
      <c r="D497" s="99"/>
      <c r="E497" s="99"/>
      <c r="F497" s="99"/>
    </row>
    <row r="498" spans="1:6" ht="12.75">
      <c r="A498" s="2"/>
      <c r="D498" s="99"/>
      <c r="E498" s="99"/>
      <c r="F498" s="99"/>
    </row>
    <row r="499" spans="1:6" ht="12.75">
      <c r="A499" s="2"/>
      <c r="D499" s="99"/>
      <c r="E499" s="99"/>
      <c r="F499" s="99"/>
    </row>
    <row r="500" spans="1:6" ht="12.75">
      <c r="A500" s="2"/>
      <c r="D500" s="99"/>
      <c r="E500" s="99"/>
      <c r="F500" s="99"/>
    </row>
    <row r="501" spans="1:6" ht="12.75">
      <c r="A501" s="2"/>
      <c r="D501" s="99"/>
      <c r="E501" s="99"/>
      <c r="F501" s="99"/>
    </row>
    <row r="502" spans="1:6" ht="12.75">
      <c r="A502" s="2"/>
      <c r="D502" s="99"/>
      <c r="E502" s="99"/>
      <c r="F502" s="99"/>
    </row>
    <row r="503" spans="1:6" ht="12.75">
      <c r="A503" s="2"/>
      <c r="D503" s="99"/>
      <c r="E503" s="99"/>
      <c r="F503" s="99"/>
    </row>
    <row r="504" spans="1:6" ht="12.75">
      <c r="A504" s="2"/>
      <c r="D504" s="99"/>
      <c r="E504" s="99"/>
      <c r="F504" s="99"/>
    </row>
    <row r="505" spans="1:6" ht="12.75">
      <c r="A505" s="2"/>
      <c r="D505" s="99"/>
      <c r="E505" s="99"/>
      <c r="F505" s="99"/>
    </row>
    <row r="506" spans="1:6" ht="12.75">
      <c r="A506" s="2"/>
      <c r="D506" s="99"/>
      <c r="E506" s="99"/>
      <c r="F506" s="99"/>
    </row>
    <row r="507" spans="1:6" ht="12.75">
      <c r="A507" s="2"/>
      <c r="D507" s="99"/>
      <c r="E507" s="99"/>
      <c r="F507" s="99"/>
    </row>
    <row r="508" spans="1:6" ht="12.75">
      <c r="A508" s="2"/>
      <c r="D508" s="99"/>
      <c r="E508" s="99"/>
      <c r="F508" s="99"/>
    </row>
    <row r="509" spans="1:6" ht="12.75">
      <c r="A509" s="2"/>
      <c r="D509" s="99"/>
      <c r="E509" s="99"/>
      <c r="F509" s="99"/>
    </row>
    <row r="510" spans="1:6" ht="12.75">
      <c r="A510" s="2"/>
      <c r="D510" s="99"/>
      <c r="E510" s="99"/>
      <c r="F510" s="99"/>
    </row>
    <row r="511" spans="1:6" ht="12.75">
      <c r="A511" s="2"/>
      <c r="D511" s="99"/>
      <c r="E511" s="99"/>
      <c r="F511" s="99"/>
    </row>
    <row r="512" spans="1:6" ht="12.75">
      <c r="A512" s="2"/>
      <c r="D512" s="99"/>
      <c r="E512" s="99"/>
      <c r="F512" s="99"/>
    </row>
    <row r="513" spans="1:6" ht="12.75">
      <c r="A513" s="2"/>
      <c r="D513" s="99"/>
      <c r="E513" s="99"/>
      <c r="F513" s="99"/>
    </row>
    <row r="514" spans="1:6" ht="12.75">
      <c r="A514" s="2"/>
      <c r="D514" s="99"/>
      <c r="E514" s="99"/>
      <c r="F514" s="99"/>
    </row>
    <row r="515" spans="1:6" ht="12.75">
      <c r="A515" s="2"/>
      <c r="D515" s="99"/>
      <c r="E515" s="99"/>
      <c r="F515" s="99"/>
    </row>
    <row r="516" spans="1:6" ht="12.75">
      <c r="A516" s="2"/>
      <c r="D516" s="99"/>
      <c r="E516" s="99"/>
      <c r="F516" s="99"/>
    </row>
    <row r="517" spans="1:6" ht="12.75">
      <c r="A517" s="2"/>
      <c r="D517" s="99"/>
      <c r="E517" s="99"/>
      <c r="F517" s="99"/>
    </row>
    <row r="518" spans="1:6" ht="12.75">
      <c r="A518" s="2"/>
      <c r="D518" s="99"/>
      <c r="E518" s="99"/>
      <c r="F518" s="99"/>
    </row>
    <row r="519" spans="1:6" ht="12.75">
      <c r="A519" s="2"/>
      <c r="D519" s="99"/>
      <c r="E519" s="99"/>
      <c r="F519" s="99"/>
    </row>
    <row r="520" spans="1:6" ht="12.75">
      <c r="A520" s="2"/>
      <c r="D520" s="99"/>
      <c r="E520" s="99"/>
      <c r="F520" s="99"/>
    </row>
    <row r="521" spans="1:6" ht="12.75">
      <c r="A521" s="2"/>
      <c r="D521" s="99"/>
      <c r="E521" s="99"/>
      <c r="F521" s="99"/>
    </row>
    <row r="522" spans="1:6" ht="12.75">
      <c r="A522" s="2"/>
      <c r="D522" s="99"/>
      <c r="E522" s="99"/>
      <c r="F522" s="99"/>
    </row>
    <row r="523" spans="1:6" ht="12.75">
      <c r="A523" s="2"/>
      <c r="D523" s="99"/>
      <c r="E523" s="99"/>
      <c r="F523" s="99"/>
    </row>
    <row r="524" spans="1:6" ht="12.75">
      <c r="A524" s="2"/>
      <c r="D524" s="99"/>
      <c r="E524" s="99"/>
      <c r="F524" s="99"/>
    </row>
    <row r="525" spans="1:6" ht="12.75">
      <c r="A525" s="2"/>
      <c r="D525" s="99"/>
      <c r="E525" s="99"/>
      <c r="F525" s="99"/>
    </row>
    <row r="526" spans="1:6" ht="12.75">
      <c r="A526" s="2"/>
      <c r="D526" s="99"/>
      <c r="E526" s="99"/>
      <c r="F526" s="99"/>
    </row>
    <row r="527" spans="1:6" ht="12.75">
      <c r="A527" s="2"/>
      <c r="D527" s="99"/>
      <c r="E527" s="99"/>
      <c r="F527" s="99"/>
    </row>
    <row r="528" spans="1:6" ht="12.75">
      <c r="A528" s="2"/>
      <c r="D528" s="99"/>
      <c r="E528" s="99"/>
      <c r="F528" s="99"/>
    </row>
    <row r="529" spans="1:6" ht="12.75">
      <c r="A529" s="2"/>
      <c r="D529" s="99"/>
      <c r="E529" s="99"/>
      <c r="F529" s="99"/>
    </row>
    <row r="530" spans="1:6" ht="12.75">
      <c r="A530" s="2"/>
      <c r="D530" s="99"/>
      <c r="E530" s="99"/>
      <c r="F530" s="99"/>
    </row>
    <row r="531" spans="1:6" ht="12.75">
      <c r="A531" s="2"/>
      <c r="D531" s="99"/>
      <c r="E531" s="99"/>
      <c r="F531" s="99"/>
    </row>
    <row r="532" spans="1:6" ht="12.75">
      <c r="A532" s="2"/>
      <c r="D532" s="99"/>
      <c r="E532" s="99"/>
      <c r="F532" s="99"/>
    </row>
    <row r="533" spans="1:6" ht="12.75">
      <c r="A533" s="2"/>
      <c r="D533" s="99"/>
      <c r="E533" s="99"/>
      <c r="F533" s="99"/>
    </row>
    <row r="534" spans="1:6" ht="12.75">
      <c r="A534" s="2"/>
      <c r="D534" s="99"/>
      <c r="E534" s="99"/>
      <c r="F534" s="99"/>
    </row>
    <row r="535" spans="1:6" ht="12.75">
      <c r="A535" s="2"/>
      <c r="D535" s="99"/>
      <c r="E535" s="99"/>
      <c r="F535" s="99"/>
    </row>
    <row r="536" spans="1:6" ht="12.75">
      <c r="A536" s="2"/>
      <c r="D536" s="99"/>
      <c r="E536" s="99"/>
      <c r="F536" s="99"/>
    </row>
    <row r="537" spans="1:6" ht="12.75">
      <c r="A537" s="2"/>
      <c r="D537" s="99"/>
      <c r="E537" s="99"/>
      <c r="F537" s="99"/>
    </row>
    <row r="538" spans="1:6" ht="12.75">
      <c r="A538" s="2"/>
      <c r="D538" s="99"/>
      <c r="E538" s="99"/>
      <c r="F538" s="99"/>
    </row>
    <row r="539" spans="1:6" ht="12.75">
      <c r="A539" s="2"/>
      <c r="D539" s="99"/>
      <c r="E539" s="99"/>
      <c r="F539" s="99"/>
    </row>
    <row r="540" spans="1:6" ht="12.75">
      <c r="A540" s="2"/>
      <c r="D540" s="99"/>
      <c r="E540" s="99"/>
      <c r="F540" s="99"/>
    </row>
    <row r="541" spans="1:6" ht="12.75">
      <c r="A541" s="2"/>
      <c r="D541" s="99"/>
      <c r="E541" s="99"/>
      <c r="F541" s="99"/>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rowBreaks count="2" manualBreakCount="2">
    <brk id="75" max="255" man="1"/>
    <brk id="1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283"/>
  <sheetViews>
    <sheetView zoomScaleSheetLayoutView="80" workbookViewId="0" topLeftCell="A1">
      <selection activeCell="A1" sqref="A1"/>
    </sheetView>
  </sheetViews>
  <sheetFormatPr defaultColWidth="9.00390625" defaultRowHeight="12.75"/>
  <cols>
    <col min="1" max="1" width="66.00390625" style="0" customWidth="1"/>
    <col min="2" max="2" width="6.625" style="5" customWidth="1"/>
    <col min="3" max="4" width="19.00390625" style="244" customWidth="1"/>
  </cols>
  <sheetData>
    <row r="1" spans="1:4" ht="18">
      <c r="A1" s="98" t="s">
        <v>918</v>
      </c>
      <c r="B1" s="100"/>
      <c r="C1" s="542"/>
      <c r="D1" s="542"/>
    </row>
    <row r="2" spans="1:4" ht="6" customHeight="1" thickBot="1">
      <c r="A2" s="99"/>
      <c r="B2" s="100"/>
      <c r="C2" s="232"/>
      <c r="D2" s="232"/>
    </row>
    <row r="3" spans="1:4" ht="13.5" customHeight="1">
      <c r="A3" s="8"/>
      <c r="B3" s="9" t="s">
        <v>919</v>
      </c>
      <c r="C3" s="272">
        <v>2002</v>
      </c>
      <c r="D3" s="563">
        <v>2001</v>
      </c>
    </row>
    <row r="4" spans="1:4" ht="14.25" customHeight="1">
      <c r="A4" s="275" t="s">
        <v>920</v>
      </c>
      <c r="B4" s="70"/>
      <c r="C4" s="233"/>
      <c r="D4" s="234"/>
    </row>
    <row r="5" spans="1:4" ht="14.25" customHeight="1">
      <c r="A5" s="93" t="s">
        <v>95</v>
      </c>
      <c r="B5" s="71"/>
      <c r="C5" s="619">
        <f>C6+C8+C9+C12+C20</f>
        <v>17959</v>
      </c>
      <c r="D5" s="622">
        <f>D6+D8+D9+D12+D20</f>
        <v>27339</v>
      </c>
    </row>
    <row r="6" spans="1:4" ht="14.25" customHeight="1">
      <c r="A6" s="68" t="s">
        <v>96</v>
      </c>
      <c r="B6" s="71">
        <v>1</v>
      </c>
      <c r="C6" s="620">
        <f>'SA-P'!C217</f>
        <v>241</v>
      </c>
      <c r="D6" s="621">
        <f>'SA-P'!D217</f>
        <v>383</v>
      </c>
    </row>
    <row r="7" spans="1:4" ht="14.25" customHeight="1">
      <c r="A7" s="68" t="s">
        <v>111</v>
      </c>
      <c r="B7" s="71"/>
      <c r="C7" s="620">
        <f>'SA-P'!B212</f>
        <v>0</v>
      </c>
      <c r="D7" s="621">
        <f>'SA-P'!C212</f>
        <v>0</v>
      </c>
    </row>
    <row r="8" spans="1:4" ht="14.25" customHeight="1">
      <c r="A8" s="68" t="s">
        <v>97</v>
      </c>
      <c r="B8" s="71">
        <v>2</v>
      </c>
      <c r="C8" s="620">
        <f>'SA-P'!C237</f>
        <v>1886</v>
      </c>
      <c r="D8" s="621">
        <f>'SA-P'!D237</f>
        <v>2037</v>
      </c>
    </row>
    <row r="9" spans="1:4" ht="14.25" customHeight="1">
      <c r="A9" s="68" t="s">
        <v>98</v>
      </c>
      <c r="B9" s="273" t="s">
        <v>416</v>
      </c>
      <c r="C9" s="620">
        <f>'SA-P'!B271</f>
        <v>0</v>
      </c>
      <c r="D9" s="621">
        <f>'SA-P'!C271</f>
        <v>0</v>
      </c>
    </row>
    <row r="10" spans="1:4" ht="14.25" customHeight="1">
      <c r="A10" s="68" t="s">
        <v>99</v>
      </c>
      <c r="B10" s="71"/>
      <c r="C10" s="620">
        <f>'SA-P'!B258</f>
        <v>0</v>
      </c>
      <c r="D10" s="621">
        <f>'SA-P'!C258</f>
        <v>0</v>
      </c>
    </row>
    <row r="11" spans="1:4" ht="14.25" customHeight="1">
      <c r="A11" s="68" t="s">
        <v>100</v>
      </c>
      <c r="B11" s="71"/>
      <c r="C11" s="620">
        <f>'SA-P'!B269</f>
        <v>0</v>
      </c>
      <c r="D11" s="621">
        <f>'SA-P'!C269</f>
        <v>0</v>
      </c>
    </row>
    <row r="12" spans="1:4" ht="14.25" customHeight="1">
      <c r="A12" s="68" t="s">
        <v>101</v>
      </c>
      <c r="B12" s="71">
        <v>4</v>
      </c>
      <c r="C12" s="620">
        <f>C13+C14+C15+C19</f>
        <v>13648</v>
      </c>
      <c r="D12" s="621">
        <f>D13+D14+D15+D19</f>
        <v>24521</v>
      </c>
    </row>
    <row r="13" spans="1:4" ht="14.25" customHeight="1">
      <c r="A13" s="68" t="s">
        <v>102</v>
      </c>
      <c r="B13" s="71"/>
      <c r="C13" s="620">
        <f>'SA-P'!B319</f>
        <v>0</v>
      </c>
      <c r="D13" s="621">
        <f>'SA-P'!C319</f>
        <v>0</v>
      </c>
    </row>
    <row r="14" spans="1:4" ht="14.25" customHeight="1">
      <c r="A14" s="68" t="s">
        <v>103</v>
      </c>
      <c r="B14" s="71"/>
      <c r="C14" s="620">
        <f>'SA-P'!B331</f>
        <v>0</v>
      </c>
      <c r="D14" s="621">
        <f>'SA-P'!C331</f>
        <v>0</v>
      </c>
    </row>
    <row r="15" spans="1:4" ht="14.25" customHeight="1">
      <c r="A15" s="68" t="s">
        <v>104</v>
      </c>
      <c r="B15" s="71"/>
      <c r="C15" s="620">
        <f>'SA-P'!C385</f>
        <v>12887</v>
      </c>
      <c r="D15" s="621">
        <f>'SA-P'!D385</f>
        <v>22754</v>
      </c>
    </row>
    <row r="16" spans="1:4" ht="14.25" customHeight="1">
      <c r="A16" s="68" t="s">
        <v>105</v>
      </c>
      <c r="B16" s="71"/>
      <c r="C16" s="620">
        <f>'SA-P'!C337+'SA-P'!C353+'SA-P'!C361</f>
        <v>12744</v>
      </c>
      <c r="D16" s="642">
        <f>'SA-P'!D337+'SA-P'!D353+'SA-P'!D361</f>
        <v>22137</v>
      </c>
    </row>
    <row r="17" spans="1:4" ht="30" customHeight="1">
      <c r="A17" s="74" t="s">
        <v>112</v>
      </c>
      <c r="B17" s="71"/>
      <c r="C17" s="620">
        <f>'SA-P'!B390</f>
        <v>0</v>
      </c>
      <c r="D17" s="621">
        <f>'SA-P'!C390</f>
        <v>0</v>
      </c>
    </row>
    <row r="18" spans="1:4" ht="14.25" customHeight="1">
      <c r="A18" s="68" t="s">
        <v>106</v>
      </c>
      <c r="B18" s="71"/>
      <c r="C18" s="620">
        <f>'SA-P'!C377</f>
        <v>143</v>
      </c>
      <c r="D18" s="621">
        <f>'SA-P'!D377</f>
        <v>617</v>
      </c>
    </row>
    <row r="19" spans="1:4" ht="14.25" customHeight="1">
      <c r="A19" s="68" t="s">
        <v>107</v>
      </c>
      <c r="B19" s="71"/>
      <c r="C19" s="620">
        <f>'SA-P'!C598</f>
        <v>761</v>
      </c>
      <c r="D19" s="621">
        <f>'SA-P'!D598</f>
        <v>1767</v>
      </c>
    </row>
    <row r="20" spans="1:4" ht="14.25" customHeight="1">
      <c r="A20" s="75" t="s">
        <v>108</v>
      </c>
      <c r="B20" s="76">
        <v>5</v>
      </c>
      <c r="C20" s="620">
        <f>C21+C22</f>
        <v>2184</v>
      </c>
      <c r="D20" s="621">
        <f>D21+D22</f>
        <v>398</v>
      </c>
    </row>
    <row r="21" spans="1:4" ht="14.25" customHeight="1">
      <c r="A21" s="68" t="s">
        <v>109</v>
      </c>
      <c r="B21" s="71"/>
      <c r="C21" s="620">
        <f>'SA-P'!C656</f>
        <v>2131</v>
      </c>
      <c r="D21" s="621">
        <f>'SA-P'!D656</f>
        <v>394</v>
      </c>
    </row>
    <row r="22" spans="1:4" ht="14.25" customHeight="1">
      <c r="A22" s="68" t="s">
        <v>110</v>
      </c>
      <c r="B22" s="71"/>
      <c r="C22" s="620">
        <f>'SA-P'!C670</f>
        <v>53</v>
      </c>
      <c r="D22" s="621">
        <f>'SA-P'!D670</f>
        <v>4</v>
      </c>
    </row>
    <row r="23" spans="1:4" ht="14.25" customHeight="1">
      <c r="A23" s="93" t="s">
        <v>113</v>
      </c>
      <c r="B23" s="71"/>
      <c r="C23" s="619">
        <f>C24+C25+C28+C34</f>
        <v>20742</v>
      </c>
      <c r="D23" s="622">
        <f>D24+D25+D28+D34</f>
        <v>46689</v>
      </c>
    </row>
    <row r="24" spans="1:4" ht="14.25" customHeight="1">
      <c r="A24" s="68" t="s">
        <v>921</v>
      </c>
      <c r="B24" s="71">
        <v>6</v>
      </c>
      <c r="C24" s="620">
        <f>'SA-P'!C680</f>
        <v>506</v>
      </c>
      <c r="D24" s="621">
        <f>'SA-P'!D680</f>
        <v>768</v>
      </c>
    </row>
    <row r="25" spans="1:4" ht="14.25" customHeight="1">
      <c r="A25" s="68" t="s">
        <v>922</v>
      </c>
      <c r="B25" s="71" t="s">
        <v>415</v>
      </c>
      <c r="C25" s="620">
        <f>C26+C27</f>
        <v>10219</v>
      </c>
      <c r="D25" s="621">
        <f>D26+D27</f>
        <v>22927</v>
      </c>
    </row>
    <row r="26" spans="1:4" ht="14.25" customHeight="1">
      <c r="A26" s="68" t="s">
        <v>114</v>
      </c>
      <c r="B26" s="71"/>
      <c r="C26" s="620">
        <f>'SA-P'!C685</f>
        <v>20</v>
      </c>
      <c r="D26" s="621">
        <f>'SA-P'!D685</f>
        <v>23</v>
      </c>
    </row>
    <row r="27" spans="1:4" ht="14.25" customHeight="1">
      <c r="A27" s="68" t="s">
        <v>115</v>
      </c>
      <c r="B27" s="71"/>
      <c r="C27" s="620">
        <f>'SA-P'!C691</f>
        <v>10199</v>
      </c>
      <c r="D27" s="621">
        <f>'SA-P'!D691</f>
        <v>22904</v>
      </c>
    </row>
    <row r="28" spans="1:4" ht="14.25" customHeight="1">
      <c r="A28" s="68" t="s">
        <v>116</v>
      </c>
      <c r="B28" s="71"/>
      <c r="C28" s="620">
        <f>C29+C33</f>
        <v>9542</v>
      </c>
      <c r="D28" s="621">
        <f>D29+D33</f>
        <v>22884</v>
      </c>
    </row>
    <row r="29" spans="1:4" ht="14.25" customHeight="1">
      <c r="A29" s="68" t="s">
        <v>117</v>
      </c>
      <c r="B29" s="71">
        <v>9</v>
      </c>
      <c r="C29" s="620">
        <f>C30+C31+C32</f>
        <v>9542</v>
      </c>
      <c r="D29" s="621">
        <f>D30+D31+D32</f>
        <v>22884</v>
      </c>
    </row>
    <row r="30" spans="1:4" ht="14.25" customHeight="1">
      <c r="A30" s="68" t="s">
        <v>118</v>
      </c>
      <c r="B30" s="71"/>
      <c r="C30" s="620">
        <f>'SA-P'!C788+'SA-P'!C797+'SA-P'!C806+'SA-P'!C815+'SA-P'!C824</f>
        <v>2615</v>
      </c>
      <c r="D30" s="621">
        <f>'SA-P'!D788+'SA-P'!D797+'SA-P'!D806+'SA-P'!D815+'SA-P'!D824</f>
        <v>5366</v>
      </c>
    </row>
    <row r="31" spans="1:4" ht="14.25" customHeight="1">
      <c r="A31" s="68" t="s">
        <v>106</v>
      </c>
      <c r="B31" s="71"/>
      <c r="C31" s="620">
        <f>'SA-P'!C833</f>
        <v>265</v>
      </c>
      <c r="D31" s="621">
        <f>'SA-P'!D833</f>
        <v>6574</v>
      </c>
    </row>
    <row r="32" spans="1:4" ht="14.25" customHeight="1">
      <c r="A32" s="68" t="s">
        <v>128</v>
      </c>
      <c r="B32" s="71"/>
      <c r="C32" s="620">
        <f>'SA-P'!C842</f>
        <v>6662</v>
      </c>
      <c r="D32" s="621">
        <f>'SA-P'!D842</f>
        <v>10944</v>
      </c>
    </row>
    <row r="33" spans="1:4" ht="14.25" customHeight="1">
      <c r="A33" s="68" t="s">
        <v>129</v>
      </c>
      <c r="B33" s="71"/>
      <c r="C33" s="620">
        <f>'SA-P'!C961</f>
        <v>0</v>
      </c>
      <c r="D33" s="621">
        <f>'SA-P'!D961</f>
        <v>0</v>
      </c>
    </row>
    <row r="34" spans="1:4" ht="14.25" customHeight="1">
      <c r="A34" s="68" t="s">
        <v>130</v>
      </c>
      <c r="B34" s="71">
        <v>10</v>
      </c>
      <c r="C34" s="620">
        <f>'SA-P'!C982</f>
        <v>475</v>
      </c>
      <c r="D34" s="621">
        <f>'SA-P'!D982</f>
        <v>110</v>
      </c>
    </row>
    <row r="35" spans="1:4" ht="14.25" customHeight="1">
      <c r="A35" s="93" t="s">
        <v>131</v>
      </c>
      <c r="B35" s="71"/>
      <c r="C35" s="619">
        <f>C23+C5</f>
        <v>38701</v>
      </c>
      <c r="D35" s="622">
        <f>D23+D5</f>
        <v>74028</v>
      </c>
    </row>
    <row r="36" spans="1:4" ht="14.25" customHeight="1">
      <c r="A36" s="276" t="s">
        <v>341</v>
      </c>
      <c r="B36" s="77"/>
      <c r="C36" s="77"/>
      <c r="D36" s="623"/>
    </row>
    <row r="37" spans="1:4" ht="14.25" customHeight="1">
      <c r="A37" s="93" t="s">
        <v>342</v>
      </c>
      <c r="B37" s="71"/>
      <c r="C37" s="619">
        <f>SUM(C38:C46)</f>
        <v>22939</v>
      </c>
      <c r="D37" s="622">
        <f>SUM(D38:D46)</f>
        <v>40491</v>
      </c>
    </row>
    <row r="38" spans="1:4" ht="14.25" customHeight="1">
      <c r="A38" s="75" t="s">
        <v>132</v>
      </c>
      <c r="B38" s="76">
        <v>12</v>
      </c>
      <c r="C38" s="620">
        <v>37800</v>
      </c>
      <c r="D38" s="621">
        <v>37800</v>
      </c>
    </row>
    <row r="39" spans="1:4" ht="14.25" customHeight="1">
      <c r="A39" s="68" t="s">
        <v>133</v>
      </c>
      <c r="B39" s="71"/>
      <c r="C39" s="620"/>
      <c r="D39" s="621"/>
    </row>
    <row r="40" spans="1:4" ht="14.25" customHeight="1">
      <c r="A40" s="68" t="s">
        <v>134</v>
      </c>
      <c r="B40" s="71">
        <v>13</v>
      </c>
      <c r="C40" s="620">
        <f>'no_14A-B'!A10</f>
        <v>0</v>
      </c>
      <c r="D40" s="621">
        <f>'no_14A-B'!B10</f>
        <v>0</v>
      </c>
    </row>
    <row r="41" spans="1:4" ht="14.25" customHeight="1">
      <c r="A41" s="68" t="s">
        <v>135</v>
      </c>
      <c r="B41" s="71">
        <v>14</v>
      </c>
      <c r="C41" s="620">
        <f>'SA-P'!C1003</f>
        <v>22050</v>
      </c>
      <c r="D41" s="621">
        <f>'SA-P'!D1003</f>
        <v>22050</v>
      </c>
    </row>
    <row r="42" spans="1:4" ht="14.25" customHeight="1">
      <c r="A42" s="68" t="s">
        <v>802</v>
      </c>
      <c r="B42" s="71">
        <v>15</v>
      </c>
      <c r="C42" s="620">
        <f>'SA-P'!C1015</f>
        <v>0</v>
      </c>
      <c r="D42" s="621">
        <f>'SA-P'!D1015</f>
        <v>0</v>
      </c>
    </row>
    <row r="43" spans="1:4" ht="20.25" customHeight="1">
      <c r="A43" s="78" t="s">
        <v>803</v>
      </c>
      <c r="B43" s="79">
        <v>16</v>
      </c>
      <c r="C43" s="624">
        <f>'SA-P'!C1025</f>
        <v>0</v>
      </c>
      <c r="D43" s="625">
        <f>'SA-P'!D1025</f>
        <v>0</v>
      </c>
    </row>
    <row r="44" spans="1:4" ht="14.25" customHeight="1">
      <c r="A44" s="68" t="s">
        <v>804</v>
      </c>
      <c r="B44" s="71"/>
      <c r="C44" s="620">
        <v>-20583</v>
      </c>
      <c r="D44" s="621">
        <v>-11065</v>
      </c>
    </row>
    <row r="45" spans="1:4" ht="14.25" customHeight="1">
      <c r="A45" s="68" t="s">
        <v>343</v>
      </c>
      <c r="B45" s="71"/>
      <c r="C45" s="620">
        <f>'SA-P'!C53</f>
        <v>-16328</v>
      </c>
      <c r="D45" s="621">
        <f>'SA-P'!D53</f>
        <v>-8294</v>
      </c>
    </row>
    <row r="46" spans="1:4" ht="14.25" customHeight="1">
      <c r="A46" s="68" t="s">
        <v>805</v>
      </c>
      <c r="B46" s="71">
        <v>17</v>
      </c>
      <c r="C46" s="620">
        <f>'SA-P'!C1035</f>
        <v>0</v>
      </c>
      <c r="D46" s="621">
        <f>'SA-P'!D1035</f>
        <v>0</v>
      </c>
    </row>
    <row r="47" spans="1:4" ht="14.25" customHeight="1">
      <c r="A47" s="93" t="s">
        <v>777</v>
      </c>
      <c r="B47" s="71"/>
      <c r="C47" s="619">
        <v>-698</v>
      </c>
      <c r="D47" s="622">
        <v>-1917</v>
      </c>
    </row>
    <row r="48" spans="1:4" ht="14.25" customHeight="1">
      <c r="A48" s="93" t="s">
        <v>778</v>
      </c>
      <c r="B48" s="71"/>
      <c r="C48" s="619"/>
      <c r="D48" s="622"/>
    </row>
    <row r="49" spans="1:4" ht="14.25" customHeight="1">
      <c r="A49" s="93" t="s">
        <v>779</v>
      </c>
      <c r="B49" s="71"/>
      <c r="C49" s="619">
        <f>C50+C58+C61+C65</f>
        <v>16460</v>
      </c>
      <c r="D49" s="622">
        <f>D50+D58+D61+D65</f>
        <v>35454</v>
      </c>
    </row>
    <row r="50" spans="1:4" ht="14.25" customHeight="1">
      <c r="A50" s="68" t="s">
        <v>806</v>
      </c>
      <c r="B50" s="71">
        <v>18</v>
      </c>
      <c r="C50" s="620">
        <f>C51+C52+C55</f>
        <v>1578</v>
      </c>
      <c r="D50" s="621">
        <f>D51+D52+D55</f>
        <v>3028</v>
      </c>
    </row>
    <row r="51" spans="1:4" ht="14.25" customHeight="1">
      <c r="A51" s="68" t="s">
        <v>807</v>
      </c>
      <c r="B51" s="71"/>
      <c r="C51" s="620">
        <f>'SA-P'!C1074</f>
        <v>163</v>
      </c>
      <c r="D51" s="642">
        <f>'SA-P'!D1074</f>
        <v>262</v>
      </c>
    </row>
    <row r="52" spans="1:4" ht="14.25" customHeight="1">
      <c r="A52" s="68" t="s">
        <v>808</v>
      </c>
      <c r="B52" s="71"/>
      <c r="C52" s="620">
        <f>C53+C54</f>
        <v>0</v>
      </c>
      <c r="D52" s="621">
        <f>D53+D54</f>
        <v>0</v>
      </c>
    </row>
    <row r="53" spans="1:4" ht="14.25" customHeight="1">
      <c r="A53" s="68" t="s">
        <v>809</v>
      </c>
      <c r="B53" s="71"/>
      <c r="C53" s="620">
        <f>'SA-P'!C1093</f>
        <v>0</v>
      </c>
      <c r="D53" s="621">
        <f>'SA-P'!D1093</f>
        <v>0</v>
      </c>
    </row>
    <row r="54" spans="1:4" ht="14.25" customHeight="1">
      <c r="A54" s="68" t="s">
        <v>810</v>
      </c>
      <c r="B54" s="71"/>
      <c r="C54" s="620">
        <f>'SA-P'!C1107</f>
        <v>0</v>
      </c>
      <c r="D54" s="621">
        <f>'SA-P'!D1107</f>
        <v>0</v>
      </c>
    </row>
    <row r="55" spans="1:4" ht="14.25" customHeight="1">
      <c r="A55" s="68" t="s">
        <v>811</v>
      </c>
      <c r="B55" s="71"/>
      <c r="C55" s="620">
        <f>C56+C57</f>
        <v>1415</v>
      </c>
      <c r="D55" s="621">
        <f>D56+D57</f>
        <v>2766</v>
      </c>
    </row>
    <row r="56" spans="1:4" ht="14.25" customHeight="1">
      <c r="A56" s="68" t="s">
        <v>812</v>
      </c>
      <c r="B56" s="71"/>
      <c r="C56" s="620">
        <f>'SA-P'!C1121</f>
        <v>0</v>
      </c>
      <c r="D56" s="621">
        <f>'SA-P'!D1121</f>
        <v>0</v>
      </c>
    </row>
    <row r="57" spans="1:4" ht="14.25" customHeight="1">
      <c r="A57" s="68" t="s">
        <v>813</v>
      </c>
      <c r="B57" s="71"/>
      <c r="C57" s="620">
        <f>'SA-P'!C1146</f>
        <v>1415</v>
      </c>
      <c r="D57" s="621">
        <f>'SA-P'!D1146</f>
        <v>2766</v>
      </c>
    </row>
    <row r="58" spans="1:4" ht="14.25" customHeight="1">
      <c r="A58" s="68" t="s">
        <v>814</v>
      </c>
      <c r="B58" s="71">
        <v>19</v>
      </c>
      <c r="C58" s="620">
        <f>C59+C60</f>
        <v>34</v>
      </c>
      <c r="D58" s="621">
        <f>D59+D60</f>
        <v>303</v>
      </c>
    </row>
    <row r="59" spans="1:4" ht="14.25" customHeight="1">
      <c r="A59" s="68" t="s">
        <v>815</v>
      </c>
      <c r="B59" s="71"/>
      <c r="C59" s="620">
        <f>'SA-P'!C1152+'SA-P'!C1160+'SA-P'!C1168+'SA-P'!C1176+'SA-P'!C1184</f>
        <v>0</v>
      </c>
      <c r="D59" s="621">
        <f>'SA-P'!D1152+'SA-P'!D1160+'SA-P'!D1168+'SA-P'!D1176+'SA-P'!D1184</f>
        <v>0</v>
      </c>
    </row>
    <row r="60" spans="1:4" ht="14.25" customHeight="1">
      <c r="A60" s="68" t="s">
        <v>816</v>
      </c>
      <c r="B60" s="71"/>
      <c r="C60" s="620">
        <f>'SA-P'!C1192</f>
        <v>34</v>
      </c>
      <c r="D60" s="621">
        <f>'SA-P'!D1192</f>
        <v>303</v>
      </c>
    </row>
    <row r="61" spans="1:4" ht="14.25" customHeight="1">
      <c r="A61" s="68" t="s">
        <v>817</v>
      </c>
      <c r="B61" s="71">
        <v>20</v>
      </c>
      <c r="C61" s="620">
        <f>SUM(C62:C64)</f>
        <v>14760</v>
      </c>
      <c r="D61" s="621">
        <f>SUM(D62:D64)</f>
        <v>31792</v>
      </c>
    </row>
    <row r="62" spans="1:4" ht="14.25" customHeight="1">
      <c r="A62" s="68" t="s">
        <v>818</v>
      </c>
      <c r="B62" s="71"/>
      <c r="C62" s="620">
        <f>'SA-P'!C1221+'SA-P'!C1235+'SA-P'!C1249+'SA-P'!C1263+'SA-P'!C1277</f>
        <v>181</v>
      </c>
      <c r="D62" s="621">
        <f>'SA-P'!D1221+'SA-P'!D1235+'SA-P'!D1249+'SA-P'!D1263+'SA-P'!D1277</f>
        <v>22</v>
      </c>
    </row>
    <row r="63" spans="1:4" ht="14.25" customHeight="1">
      <c r="A63" s="68" t="s">
        <v>819</v>
      </c>
      <c r="B63" s="71"/>
      <c r="C63" s="620">
        <f>'SA-P'!C1291</f>
        <v>14578</v>
      </c>
      <c r="D63" s="621">
        <f>'SA-P'!D1291</f>
        <v>31770</v>
      </c>
    </row>
    <row r="64" spans="1:4" ht="14.25" customHeight="1">
      <c r="A64" s="68" t="s">
        <v>820</v>
      </c>
      <c r="B64" s="71"/>
      <c r="C64" s="620">
        <f>'SA-P'!C1308</f>
        <v>1</v>
      </c>
      <c r="D64" s="621">
        <f>'SA-P'!D1308</f>
        <v>0</v>
      </c>
    </row>
    <row r="65" spans="1:4" ht="14.25" customHeight="1">
      <c r="A65" s="68" t="s">
        <v>821</v>
      </c>
      <c r="B65" s="71">
        <v>21</v>
      </c>
      <c r="C65" s="620">
        <f>C66+C67</f>
        <v>88</v>
      </c>
      <c r="D65" s="621">
        <f>D66+D67</f>
        <v>331</v>
      </c>
    </row>
    <row r="66" spans="1:4" ht="14.25" customHeight="1">
      <c r="A66" s="68" t="s">
        <v>822</v>
      </c>
      <c r="B66" s="71"/>
      <c r="C66" s="620">
        <f>'SA-P'!C1333</f>
        <v>0</v>
      </c>
      <c r="D66" s="621">
        <f>'SA-P'!D1333</f>
        <v>0</v>
      </c>
    </row>
    <row r="67" spans="1:4" ht="14.25" customHeight="1">
      <c r="A67" s="68" t="s">
        <v>823</v>
      </c>
      <c r="B67" s="71"/>
      <c r="C67" s="620">
        <f>C68+C69</f>
        <v>88</v>
      </c>
      <c r="D67" s="621">
        <f>D68+D69</f>
        <v>331</v>
      </c>
    </row>
    <row r="68" spans="1:4" ht="14.25" customHeight="1">
      <c r="A68" s="68" t="s">
        <v>812</v>
      </c>
      <c r="B68" s="71"/>
      <c r="C68" s="620">
        <f>'SA-P'!C1339+'SA-P'!C1344</f>
        <v>0</v>
      </c>
      <c r="D68" s="621">
        <f>'SA-P'!D1339+'SA-P'!D1344</f>
        <v>81</v>
      </c>
    </row>
    <row r="69" spans="1:4" ht="14.25" customHeight="1">
      <c r="A69" s="68" t="s">
        <v>813</v>
      </c>
      <c r="B69" s="71"/>
      <c r="C69" s="620">
        <f>'SA-P'!C1341+'SA-P'!C1345</f>
        <v>88</v>
      </c>
      <c r="D69" s="621">
        <f>'SA-P'!D1341+'SA-P'!D1345</f>
        <v>250</v>
      </c>
    </row>
    <row r="70" spans="1:4" ht="14.25" customHeight="1">
      <c r="A70" s="93" t="s">
        <v>824</v>
      </c>
      <c r="B70" s="71"/>
      <c r="C70" s="619">
        <f>C49+C37+C47</f>
        <v>38701</v>
      </c>
      <c r="D70" s="622">
        <f>D49+D37+D47</f>
        <v>74028</v>
      </c>
    </row>
    <row r="71" spans="1:4" ht="11.25" customHeight="1">
      <c r="A71" s="80"/>
      <c r="B71" s="81"/>
      <c r="C71" s="239">
        <f>C70-C35</f>
        <v>0</v>
      </c>
      <c r="D71" s="543">
        <f>D70-D35</f>
        <v>0</v>
      </c>
    </row>
    <row r="72" spans="1:4" ht="14.25" customHeight="1">
      <c r="A72" s="93" t="s">
        <v>344</v>
      </c>
      <c r="B72" s="71"/>
      <c r="C72" s="235">
        <f>C37</f>
        <v>22939</v>
      </c>
      <c r="D72" s="236">
        <f>D37</f>
        <v>40491</v>
      </c>
    </row>
    <row r="73" spans="1:4" ht="14.25" customHeight="1">
      <c r="A73" s="93" t="s">
        <v>345</v>
      </c>
      <c r="B73" s="71"/>
      <c r="C73" s="235">
        <v>37800000</v>
      </c>
      <c r="D73" s="236">
        <v>37800000</v>
      </c>
    </row>
    <row r="74" spans="1:4" ht="14.25" customHeight="1">
      <c r="A74" s="93" t="s">
        <v>346</v>
      </c>
      <c r="B74" s="71">
        <v>22</v>
      </c>
      <c r="C74" s="72">
        <f>C72/C73*1000</f>
        <v>0.6068518518518518</v>
      </c>
      <c r="D74" s="73">
        <f>D72/D73*1000</f>
        <v>1.0711904761904762</v>
      </c>
    </row>
    <row r="75" spans="1:4" ht="14.25" customHeight="1">
      <c r="A75" s="93" t="s">
        <v>825</v>
      </c>
      <c r="B75" s="71"/>
      <c r="C75" s="235">
        <v>37800000</v>
      </c>
      <c r="D75" s="236">
        <v>37800000</v>
      </c>
    </row>
    <row r="76" spans="1:4" ht="14.25" customHeight="1" thickBot="1">
      <c r="A76" s="94" t="s">
        <v>347</v>
      </c>
      <c r="B76" s="82">
        <v>22</v>
      </c>
      <c r="C76" s="83">
        <f>C72/C75*1000</f>
        <v>0.6068518518518518</v>
      </c>
      <c r="D76" s="84">
        <f>D72/D75*1000</f>
        <v>1.0711904761904762</v>
      </c>
    </row>
    <row r="77" spans="1:4" ht="14.25" customHeight="1">
      <c r="A77" s="1"/>
      <c r="B77" s="85"/>
      <c r="C77" s="242"/>
      <c r="D77" s="242"/>
    </row>
    <row r="78" spans="1:4" ht="13.5" customHeight="1" thickBot="1">
      <c r="A78" s="15"/>
      <c r="B78" s="86"/>
      <c r="C78" s="243"/>
      <c r="D78" s="243"/>
    </row>
    <row r="79" spans="1:4" ht="6" customHeight="1" hidden="1" thickBot="1">
      <c r="A79" s="1"/>
      <c r="B79" s="1"/>
      <c r="C79" s="243"/>
      <c r="D79" s="243"/>
    </row>
    <row r="80" spans="1:4" ht="21" customHeight="1">
      <c r="A80" s="277" t="s">
        <v>1147</v>
      </c>
      <c r="B80" s="87" t="s">
        <v>919</v>
      </c>
      <c r="C80" s="565">
        <v>2002</v>
      </c>
      <c r="D80" s="564">
        <v>2001</v>
      </c>
    </row>
    <row r="81" spans="1:4" ht="14.25" customHeight="1">
      <c r="A81" s="68" t="s">
        <v>826</v>
      </c>
      <c r="B81" s="90">
        <v>23</v>
      </c>
      <c r="C81" s="235">
        <f>C82+C85</f>
        <v>0</v>
      </c>
      <c r="D81" s="236">
        <f>D82+D85</f>
        <v>0</v>
      </c>
    </row>
    <row r="82" spans="1:4" ht="14.25" customHeight="1">
      <c r="A82" s="91" t="s">
        <v>827</v>
      </c>
      <c r="B82" s="92"/>
      <c r="C82" s="235">
        <f>C83+C84</f>
        <v>0</v>
      </c>
      <c r="D82" s="236">
        <f>D83+D84</f>
        <v>0</v>
      </c>
    </row>
    <row r="83" spans="1:4" ht="14.25" customHeight="1">
      <c r="A83" s="68" t="s">
        <v>834</v>
      </c>
      <c r="B83" s="90"/>
      <c r="C83" s="235">
        <f>'SA-P'!B1357</f>
        <v>0</v>
      </c>
      <c r="D83" s="236">
        <f>'SA-P'!C1357</f>
        <v>0</v>
      </c>
    </row>
    <row r="84" spans="1:4" ht="14.25" customHeight="1">
      <c r="A84" s="68" t="s">
        <v>954</v>
      </c>
      <c r="B84" s="90"/>
      <c r="C84" s="235">
        <f>'SA-P'!B1363</f>
        <v>0</v>
      </c>
      <c r="D84" s="236">
        <f>'SA-P'!C1363</f>
        <v>0</v>
      </c>
    </row>
    <row r="85" spans="1:4" ht="14.25" customHeight="1">
      <c r="A85" s="68" t="s">
        <v>828</v>
      </c>
      <c r="B85" s="90"/>
      <c r="C85" s="235">
        <f>C86+C87</f>
        <v>0</v>
      </c>
      <c r="D85" s="236">
        <f>D86+D87</f>
        <v>0</v>
      </c>
    </row>
    <row r="86" spans="1:4" ht="14.25" customHeight="1">
      <c r="A86" s="68" t="s">
        <v>834</v>
      </c>
      <c r="B86" s="90"/>
      <c r="C86" s="235"/>
      <c r="D86" s="236"/>
    </row>
    <row r="87" spans="1:4" ht="14.25" customHeight="1">
      <c r="A87" s="68" t="s">
        <v>954</v>
      </c>
      <c r="B87" s="90"/>
      <c r="C87" s="235"/>
      <c r="D87" s="236"/>
    </row>
    <row r="88" spans="1:4" ht="14.25" customHeight="1">
      <c r="A88" s="68" t="s">
        <v>829</v>
      </c>
      <c r="B88" s="71">
        <v>23</v>
      </c>
      <c r="C88" s="235">
        <f>C89+C92</f>
        <v>0</v>
      </c>
      <c r="D88" s="236">
        <f>D89+D92</f>
        <v>2000</v>
      </c>
    </row>
    <row r="89" spans="1:4" ht="14.25" customHeight="1">
      <c r="A89" s="68" t="s">
        <v>830</v>
      </c>
      <c r="B89" s="71"/>
      <c r="C89" s="235">
        <f>C90+C91</f>
        <v>0</v>
      </c>
      <c r="D89" s="236">
        <f>D90+D91</f>
        <v>2000</v>
      </c>
    </row>
    <row r="90" spans="1:4" ht="14.25" customHeight="1">
      <c r="A90" s="68" t="s">
        <v>835</v>
      </c>
      <c r="B90" s="71"/>
      <c r="C90" s="235"/>
      <c r="D90" s="236">
        <f>'SA-P'!C1382</f>
        <v>0</v>
      </c>
    </row>
    <row r="91" spans="1:4" ht="14.25" customHeight="1">
      <c r="A91" s="68" t="s">
        <v>1056</v>
      </c>
      <c r="B91" s="71"/>
      <c r="C91" s="235"/>
      <c r="D91" s="236">
        <v>2000</v>
      </c>
    </row>
    <row r="92" spans="1:4" ht="14.25" customHeight="1">
      <c r="A92" s="68" t="s">
        <v>831</v>
      </c>
      <c r="B92" s="71"/>
      <c r="C92" s="235">
        <f>C93+C94</f>
        <v>0</v>
      </c>
      <c r="D92" s="236">
        <f>D93+D94</f>
        <v>0</v>
      </c>
    </row>
    <row r="93" spans="1:4" ht="14.25" customHeight="1">
      <c r="A93" s="68" t="s">
        <v>835</v>
      </c>
      <c r="B93" s="71"/>
      <c r="C93" s="235"/>
      <c r="D93" s="236">
        <v>0</v>
      </c>
    </row>
    <row r="94" spans="1:4" ht="14.25" customHeight="1">
      <c r="A94" s="68" t="s">
        <v>954</v>
      </c>
      <c r="B94" s="71"/>
      <c r="C94" s="235">
        <f>'SA-P'!B1388</f>
        <v>0</v>
      </c>
      <c r="D94" s="236"/>
    </row>
    <row r="95" spans="1:4" ht="14.25" customHeight="1">
      <c r="A95" s="68" t="s">
        <v>832</v>
      </c>
      <c r="B95" s="71"/>
      <c r="C95" s="235">
        <f>SUM(C96)</f>
        <v>1400</v>
      </c>
      <c r="D95" s="236">
        <f>SUM(D96:D97)</f>
        <v>1722</v>
      </c>
    </row>
    <row r="96" spans="1:4" ht="14.25" customHeight="1">
      <c r="A96" s="68" t="s">
        <v>1054</v>
      </c>
      <c r="B96" s="71"/>
      <c r="C96" s="235">
        <v>1400</v>
      </c>
      <c r="D96" s="236">
        <v>1722</v>
      </c>
    </row>
    <row r="97" spans="1:4" ht="14.25" customHeight="1">
      <c r="A97" s="68" t="s">
        <v>1055</v>
      </c>
      <c r="B97" s="79"/>
      <c r="C97" s="237"/>
      <c r="D97" s="238"/>
    </row>
    <row r="98" spans="1:4" ht="14.25" customHeight="1" thickBot="1">
      <c r="A98" s="94" t="s">
        <v>833</v>
      </c>
      <c r="B98" s="82"/>
      <c r="C98" s="240">
        <f>C81+C88+C95</f>
        <v>1400</v>
      </c>
      <c r="D98" s="241">
        <f>D81+D88+D95</f>
        <v>3722</v>
      </c>
    </row>
    <row r="99" spans="1:4" ht="14.25">
      <c r="A99" s="1"/>
      <c r="B99" s="85"/>
      <c r="C99" s="242"/>
      <c r="D99" s="242"/>
    </row>
    <row r="100" spans="1:4" ht="14.25">
      <c r="A100" s="1"/>
      <c r="B100" s="85"/>
      <c r="C100" s="242"/>
      <c r="D100" s="242"/>
    </row>
    <row r="101" spans="1:4" ht="14.25">
      <c r="A101" s="1"/>
      <c r="B101" s="85"/>
      <c r="C101" s="242"/>
      <c r="D101" s="242"/>
    </row>
    <row r="102" spans="1:4" ht="14.25">
      <c r="A102" s="1"/>
      <c r="B102" s="85"/>
      <c r="C102" s="242"/>
      <c r="D102" s="242"/>
    </row>
    <row r="103" spans="1:4" ht="14.25">
      <c r="A103" s="1"/>
      <c r="B103" s="85"/>
      <c r="C103" s="242"/>
      <c r="D103" s="242"/>
    </row>
    <row r="104" spans="1:4" ht="14.25">
      <c r="A104" s="1"/>
      <c r="B104" s="85"/>
      <c r="C104" s="242"/>
      <c r="D104" s="242"/>
    </row>
    <row r="105" spans="1:4" ht="14.25">
      <c r="A105" s="1"/>
      <c r="B105" s="85"/>
      <c r="C105" s="242"/>
      <c r="D105" s="242"/>
    </row>
    <row r="106" spans="1:4" ht="14.25">
      <c r="A106" s="1"/>
      <c r="B106" s="85"/>
      <c r="C106" s="242"/>
      <c r="D106" s="242"/>
    </row>
    <row r="107" spans="1:4" ht="14.25">
      <c r="A107" s="1"/>
      <c r="B107" s="85"/>
      <c r="C107" s="242"/>
      <c r="D107" s="242"/>
    </row>
    <row r="108" spans="1:4" ht="14.25">
      <c r="A108" s="1"/>
      <c r="B108" s="85"/>
      <c r="C108" s="242"/>
      <c r="D108" s="242"/>
    </row>
    <row r="109" spans="1:4" ht="14.25">
      <c r="A109" s="1"/>
      <c r="B109" s="85"/>
      <c r="C109" s="242"/>
      <c r="D109" s="242"/>
    </row>
    <row r="110" spans="1:4" ht="14.25">
      <c r="A110" s="1"/>
      <c r="B110" s="85"/>
      <c r="C110" s="242"/>
      <c r="D110" s="242"/>
    </row>
    <row r="111" spans="1:4" ht="14.25">
      <c r="A111" s="1"/>
      <c r="B111" s="85"/>
      <c r="C111" s="242"/>
      <c r="D111" s="242"/>
    </row>
    <row r="112" spans="1:4" ht="14.25">
      <c r="A112" s="1"/>
      <c r="B112" s="85"/>
      <c r="C112" s="242"/>
      <c r="D112" s="242"/>
    </row>
    <row r="113" spans="1:4" ht="14.25">
      <c r="A113" s="1"/>
      <c r="B113" s="85"/>
      <c r="C113" s="242"/>
      <c r="D113" s="242"/>
    </row>
    <row r="114" spans="1:4" ht="14.25">
      <c r="A114" s="1"/>
      <c r="B114" s="85"/>
      <c r="C114" s="242"/>
      <c r="D114" s="242"/>
    </row>
    <row r="115" spans="1:4" ht="14.25">
      <c r="A115" s="1"/>
      <c r="B115" s="85"/>
      <c r="C115" s="242"/>
      <c r="D115" s="242"/>
    </row>
    <row r="116" spans="1:4" ht="14.25">
      <c r="A116" s="1"/>
      <c r="B116" s="85"/>
      <c r="C116" s="242"/>
      <c r="D116" s="242"/>
    </row>
    <row r="117" spans="1:4" ht="14.25">
      <c r="A117" s="1"/>
      <c r="B117" s="85"/>
      <c r="C117" s="242"/>
      <c r="D117" s="242"/>
    </row>
    <row r="118" spans="1:4" ht="14.25">
      <c r="A118" s="1"/>
      <c r="B118" s="85"/>
      <c r="C118" s="242"/>
      <c r="D118" s="242"/>
    </row>
    <row r="119" spans="1:4" ht="14.25">
      <c r="A119" s="1"/>
      <c r="B119" s="85"/>
      <c r="C119" s="242"/>
      <c r="D119" s="242"/>
    </row>
    <row r="120" spans="1:4" ht="14.25">
      <c r="A120" s="1"/>
      <c r="B120" s="85"/>
      <c r="C120" s="242"/>
      <c r="D120" s="242"/>
    </row>
    <row r="121" spans="1:4" ht="14.25">
      <c r="A121" s="1"/>
      <c r="B121" s="85"/>
      <c r="C121" s="242"/>
      <c r="D121" s="242"/>
    </row>
    <row r="122" spans="1:4" ht="14.25">
      <c r="A122" s="1"/>
      <c r="B122" s="85"/>
      <c r="C122" s="242"/>
      <c r="D122" s="242"/>
    </row>
    <row r="123" spans="1:4" ht="14.25">
      <c r="A123" s="1"/>
      <c r="B123" s="85"/>
      <c r="C123" s="242"/>
      <c r="D123" s="242"/>
    </row>
    <row r="124" spans="1:4" ht="14.25">
      <c r="A124" s="1"/>
      <c r="B124" s="85"/>
      <c r="C124" s="242"/>
      <c r="D124" s="242"/>
    </row>
    <row r="125" spans="1:4" ht="14.25">
      <c r="A125" s="1"/>
      <c r="B125" s="85"/>
      <c r="C125" s="242"/>
      <c r="D125" s="242"/>
    </row>
    <row r="126" spans="1:4" ht="14.25">
      <c r="A126" s="1"/>
      <c r="B126" s="85"/>
      <c r="C126" s="242"/>
      <c r="D126" s="242"/>
    </row>
    <row r="127" spans="1:4" ht="14.25">
      <c r="A127" s="1"/>
      <c r="B127" s="85"/>
      <c r="C127" s="242"/>
      <c r="D127" s="242"/>
    </row>
    <row r="128" spans="1:4" ht="14.25">
      <c r="A128" s="1"/>
      <c r="B128" s="85"/>
      <c r="C128" s="242"/>
      <c r="D128" s="242"/>
    </row>
    <row r="129" spans="1:4" ht="14.25">
      <c r="A129" s="1"/>
      <c r="B129" s="85"/>
      <c r="C129" s="242"/>
      <c r="D129" s="242"/>
    </row>
    <row r="130" spans="1:4" ht="14.25">
      <c r="A130" s="1"/>
      <c r="B130" s="85"/>
      <c r="C130" s="242"/>
      <c r="D130" s="242"/>
    </row>
    <row r="131" spans="1:4" ht="14.25">
      <c r="A131" s="1"/>
      <c r="B131" s="85"/>
      <c r="C131" s="242"/>
      <c r="D131" s="242"/>
    </row>
    <row r="132" spans="1:4" ht="14.25">
      <c r="A132" s="1"/>
      <c r="B132" s="85"/>
      <c r="C132" s="242"/>
      <c r="D132" s="242"/>
    </row>
    <row r="133" spans="1:4" ht="14.25">
      <c r="A133" s="1"/>
      <c r="B133" s="85"/>
      <c r="C133" s="242"/>
      <c r="D133" s="242"/>
    </row>
    <row r="134" spans="1:4" ht="14.25">
      <c r="A134" s="1"/>
      <c r="B134" s="85"/>
      <c r="C134" s="242"/>
      <c r="D134" s="242"/>
    </row>
    <row r="135" spans="1:4" ht="14.25">
      <c r="A135" s="1"/>
      <c r="B135" s="85"/>
      <c r="C135" s="242"/>
      <c r="D135" s="242"/>
    </row>
    <row r="136" spans="1:4" ht="14.25">
      <c r="A136" s="1"/>
      <c r="B136" s="85"/>
      <c r="C136" s="242"/>
      <c r="D136" s="242"/>
    </row>
    <row r="137" spans="1:4" ht="14.25">
      <c r="A137" s="1"/>
      <c r="B137" s="85"/>
      <c r="C137" s="242"/>
      <c r="D137" s="242"/>
    </row>
    <row r="138" spans="1:4" ht="14.25">
      <c r="A138" s="1"/>
      <c r="B138" s="85"/>
      <c r="C138" s="242"/>
      <c r="D138" s="242"/>
    </row>
    <row r="139" spans="1:4" ht="14.25">
      <c r="A139" s="1"/>
      <c r="B139" s="85"/>
      <c r="C139" s="242"/>
      <c r="D139" s="242"/>
    </row>
    <row r="140" spans="1:4" ht="14.25">
      <c r="A140" s="1"/>
      <c r="B140" s="85"/>
      <c r="C140" s="242"/>
      <c r="D140" s="242"/>
    </row>
    <row r="141" spans="1:4" ht="14.25">
      <c r="A141" s="1"/>
      <c r="B141" s="85"/>
      <c r="C141" s="242"/>
      <c r="D141" s="242"/>
    </row>
    <row r="142" spans="1:4" ht="14.25">
      <c r="A142" s="1"/>
      <c r="B142" s="85"/>
      <c r="C142" s="242"/>
      <c r="D142" s="242"/>
    </row>
    <row r="143" spans="1:4" ht="14.25">
      <c r="A143" s="1"/>
      <c r="B143" s="85"/>
      <c r="C143" s="242"/>
      <c r="D143" s="242"/>
    </row>
    <row r="144" spans="1:4" ht="14.25">
      <c r="A144" s="1"/>
      <c r="B144" s="85"/>
      <c r="C144" s="242"/>
      <c r="D144" s="242"/>
    </row>
    <row r="145" spans="1:4" ht="14.25">
      <c r="A145" s="1"/>
      <c r="B145" s="85"/>
      <c r="C145" s="242"/>
      <c r="D145" s="242"/>
    </row>
    <row r="146" spans="1:4" ht="14.25">
      <c r="A146" s="1"/>
      <c r="B146" s="85"/>
      <c r="C146" s="242"/>
      <c r="D146" s="242"/>
    </row>
    <row r="147" spans="1:4" ht="14.25">
      <c r="A147" s="1"/>
      <c r="B147" s="85"/>
      <c r="C147" s="242"/>
      <c r="D147" s="242"/>
    </row>
    <row r="148" spans="1:4" ht="14.25">
      <c r="A148" s="1"/>
      <c r="B148" s="85"/>
      <c r="C148" s="242"/>
      <c r="D148" s="242"/>
    </row>
    <row r="149" spans="1:4" ht="14.25">
      <c r="A149" s="1"/>
      <c r="B149" s="85"/>
      <c r="C149" s="242"/>
      <c r="D149" s="242"/>
    </row>
    <row r="150" spans="1:4" ht="14.25">
      <c r="A150" s="1"/>
      <c r="B150" s="85"/>
      <c r="C150" s="242"/>
      <c r="D150" s="242"/>
    </row>
    <row r="151" spans="1:4" ht="14.25">
      <c r="A151" s="1"/>
      <c r="B151" s="85"/>
      <c r="C151" s="242"/>
      <c r="D151" s="242"/>
    </row>
    <row r="152" spans="1:4" ht="14.25">
      <c r="A152" s="1"/>
      <c r="B152" s="85"/>
      <c r="C152" s="242"/>
      <c r="D152" s="242"/>
    </row>
    <row r="153" spans="1:4" ht="14.25">
      <c r="A153" s="1"/>
      <c r="B153" s="85"/>
      <c r="C153" s="242"/>
      <c r="D153" s="242"/>
    </row>
    <row r="154" spans="1:4" ht="14.25">
      <c r="A154" s="1"/>
      <c r="B154" s="85"/>
      <c r="C154" s="242"/>
      <c r="D154" s="242"/>
    </row>
    <row r="155" spans="1:4" ht="14.25">
      <c r="A155" s="1"/>
      <c r="B155" s="85"/>
      <c r="C155" s="242"/>
      <c r="D155" s="242"/>
    </row>
    <row r="156" spans="1:4" ht="14.25">
      <c r="A156" s="1"/>
      <c r="B156" s="85"/>
      <c r="C156" s="242"/>
      <c r="D156" s="242"/>
    </row>
    <row r="157" spans="1:4" ht="14.25">
      <c r="A157" s="1"/>
      <c r="B157" s="85"/>
      <c r="C157" s="242"/>
      <c r="D157" s="242"/>
    </row>
    <row r="158" spans="1:4" ht="14.25">
      <c r="A158" s="1"/>
      <c r="B158" s="85"/>
      <c r="C158" s="242"/>
      <c r="D158" s="242"/>
    </row>
    <row r="159" spans="1:4" ht="14.25">
      <c r="A159" s="1"/>
      <c r="B159" s="85"/>
      <c r="C159" s="242"/>
      <c r="D159" s="242"/>
    </row>
    <row r="160" spans="1:4" ht="14.25">
      <c r="A160" s="1"/>
      <c r="B160" s="85"/>
      <c r="C160" s="242"/>
      <c r="D160" s="242"/>
    </row>
    <row r="161" spans="1:4" ht="14.25">
      <c r="A161" s="1"/>
      <c r="B161" s="85"/>
      <c r="C161" s="242"/>
      <c r="D161" s="242"/>
    </row>
    <row r="162" spans="1:4" ht="14.25">
      <c r="A162" s="1"/>
      <c r="B162" s="85"/>
      <c r="C162" s="242"/>
      <c r="D162" s="242"/>
    </row>
    <row r="163" spans="1:4" ht="14.25">
      <c r="A163" s="1"/>
      <c r="B163" s="85"/>
      <c r="C163" s="242"/>
      <c r="D163" s="242"/>
    </row>
    <row r="164" spans="1:4" ht="14.25">
      <c r="A164" s="1"/>
      <c r="B164" s="85"/>
      <c r="C164" s="242"/>
      <c r="D164" s="242"/>
    </row>
    <row r="165" spans="1:4" ht="14.25">
      <c r="A165" s="1"/>
      <c r="B165" s="85"/>
      <c r="C165" s="242"/>
      <c r="D165" s="242"/>
    </row>
    <row r="166" spans="1:4" ht="14.25">
      <c r="A166" s="1"/>
      <c r="B166" s="85"/>
      <c r="C166" s="242"/>
      <c r="D166" s="242"/>
    </row>
    <row r="167" spans="1:4" ht="14.25">
      <c r="A167" s="1"/>
      <c r="B167" s="85"/>
      <c r="C167" s="242"/>
      <c r="D167" s="242"/>
    </row>
    <row r="168" spans="1:4" ht="14.25">
      <c r="A168" s="1"/>
      <c r="B168" s="85"/>
      <c r="C168" s="242"/>
      <c r="D168" s="242"/>
    </row>
    <row r="169" spans="1:4" ht="14.25">
      <c r="A169" s="1"/>
      <c r="B169" s="85"/>
      <c r="C169" s="242"/>
      <c r="D169" s="242"/>
    </row>
    <row r="170" spans="1:4" ht="14.25">
      <c r="A170" s="1"/>
      <c r="B170" s="85"/>
      <c r="C170" s="242"/>
      <c r="D170" s="242"/>
    </row>
    <row r="171" spans="1:4" ht="14.25">
      <c r="A171" s="1"/>
      <c r="B171" s="85"/>
      <c r="C171" s="242"/>
      <c r="D171" s="242"/>
    </row>
    <row r="172" spans="1:4" ht="14.25">
      <c r="A172" s="1"/>
      <c r="B172" s="85"/>
      <c r="C172" s="242"/>
      <c r="D172" s="242"/>
    </row>
    <row r="173" spans="1:4" ht="14.25">
      <c r="A173" s="1"/>
      <c r="B173" s="85"/>
      <c r="C173" s="242"/>
      <c r="D173" s="242"/>
    </row>
    <row r="174" spans="1:4" ht="14.25">
      <c r="A174" s="1"/>
      <c r="B174" s="85"/>
      <c r="C174" s="242"/>
      <c r="D174" s="242"/>
    </row>
    <row r="175" spans="1:4" ht="14.25">
      <c r="A175" s="1"/>
      <c r="B175" s="85"/>
      <c r="C175" s="242"/>
      <c r="D175" s="242"/>
    </row>
    <row r="176" spans="1:4" ht="14.25">
      <c r="A176" s="1"/>
      <c r="B176" s="85"/>
      <c r="C176" s="242"/>
      <c r="D176" s="242"/>
    </row>
    <row r="177" spans="1:4" ht="14.25">
      <c r="A177" s="1"/>
      <c r="B177" s="85"/>
      <c r="C177" s="242"/>
      <c r="D177" s="242"/>
    </row>
    <row r="178" spans="1:4" ht="14.25">
      <c r="A178" s="1"/>
      <c r="B178" s="85"/>
      <c r="C178" s="242"/>
      <c r="D178" s="242"/>
    </row>
    <row r="179" spans="1:4" ht="14.25">
      <c r="A179" s="1"/>
      <c r="B179" s="85"/>
      <c r="C179" s="242"/>
      <c r="D179" s="242"/>
    </row>
    <row r="180" spans="1:4" ht="14.25">
      <c r="A180" s="1"/>
      <c r="B180" s="85"/>
      <c r="C180" s="242"/>
      <c r="D180" s="242"/>
    </row>
    <row r="181" spans="1:4" ht="14.25">
      <c r="A181" s="1"/>
      <c r="B181" s="85"/>
      <c r="C181" s="242"/>
      <c r="D181" s="242"/>
    </row>
    <row r="182" spans="1:4" ht="14.25">
      <c r="A182" s="1"/>
      <c r="B182" s="85"/>
      <c r="C182" s="242"/>
      <c r="D182" s="242"/>
    </row>
    <row r="183" spans="1:4" ht="14.25">
      <c r="A183" s="1"/>
      <c r="B183" s="85"/>
      <c r="C183" s="242"/>
      <c r="D183" s="242"/>
    </row>
    <row r="184" spans="1:4" ht="14.25">
      <c r="A184" s="1"/>
      <c r="B184" s="85"/>
      <c r="C184" s="242"/>
      <c r="D184" s="242"/>
    </row>
    <row r="185" spans="1:4" ht="14.25">
      <c r="A185" s="1"/>
      <c r="B185" s="85"/>
      <c r="C185" s="242"/>
      <c r="D185" s="242"/>
    </row>
    <row r="186" spans="1:4" ht="14.25">
      <c r="A186" s="1"/>
      <c r="B186" s="85"/>
      <c r="C186" s="242"/>
      <c r="D186" s="242"/>
    </row>
    <row r="187" spans="1:4" ht="14.25">
      <c r="A187" s="1"/>
      <c r="B187" s="85"/>
      <c r="C187" s="242"/>
      <c r="D187" s="242"/>
    </row>
    <row r="188" spans="1:4" ht="14.25">
      <c r="A188" s="1"/>
      <c r="B188" s="85"/>
      <c r="C188" s="242"/>
      <c r="D188" s="242"/>
    </row>
    <row r="189" spans="1:4" ht="14.25">
      <c r="A189" s="1"/>
      <c r="B189" s="85"/>
      <c r="C189" s="242"/>
      <c r="D189" s="242"/>
    </row>
    <row r="190" spans="1:4" ht="14.25">
      <c r="A190" s="1"/>
      <c r="B190" s="85"/>
      <c r="C190" s="242"/>
      <c r="D190" s="242"/>
    </row>
    <row r="191" spans="1:4" ht="14.25">
      <c r="A191" s="1"/>
      <c r="B191" s="85"/>
      <c r="C191" s="242"/>
      <c r="D191" s="242"/>
    </row>
    <row r="192" spans="1:4" ht="14.25">
      <c r="A192" s="1"/>
      <c r="B192" s="85"/>
      <c r="C192" s="242"/>
      <c r="D192" s="242"/>
    </row>
    <row r="193" spans="1:4" ht="14.25">
      <c r="A193" s="1"/>
      <c r="B193" s="85"/>
      <c r="C193" s="242"/>
      <c r="D193" s="242"/>
    </row>
    <row r="194" spans="1:4" ht="14.25">
      <c r="A194" s="1"/>
      <c r="B194" s="85"/>
      <c r="C194" s="242"/>
      <c r="D194" s="242"/>
    </row>
    <row r="195" spans="1:4" ht="14.25">
      <c r="A195" s="1"/>
      <c r="B195" s="85"/>
      <c r="C195" s="242"/>
      <c r="D195" s="242"/>
    </row>
    <row r="196" spans="1:4" ht="14.25">
      <c r="A196" s="1"/>
      <c r="B196" s="85"/>
      <c r="C196" s="242"/>
      <c r="D196" s="242"/>
    </row>
    <row r="197" spans="1:4" ht="14.25">
      <c r="A197" s="1"/>
      <c r="B197" s="85"/>
      <c r="C197" s="242"/>
      <c r="D197" s="242"/>
    </row>
    <row r="198" spans="1:4" ht="14.25">
      <c r="A198" s="1"/>
      <c r="B198" s="85"/>
      <c r="C198" s="242"/>
      <c r="D198" s="242"/>
    </row>
    <row r="199" spans="1:4" ht="14.25">
      <c r="A199" s="1"/>
      <c r="B199" s="85"/>
      <c r="C199" s="242"/>
      <c r="D199" s="242"/>
    </row>
    <row r="200" spans="1:4" ht="14.25">
      <c r="A200" s="1"/>
      <c r="B200" s="85"/>
      <c r="C200" s="242"/>
      <c r="D200" s="242"/>
    </row>
    <row r="201" spans="1:4" ht="14.25">
      <c r="A201" s="1"/>
      <c r="B201" s="85"/>
      <c r="C201" s="242"/>
      <c r="D201" s="242"/>
    </row>
    <row r="202" spans="1:4" ht="14.25">
      <c r="A202" s="1"/>
      <c r="B202" s="85"/>
      <c r="C202" s="242"/>
      <c r="D202" s="242"/>
    </row>
    <row r="203" spans="1:4" ht="14.25">
      <c r="A203" s="1"/>
      <c r="B203" s="85"/>
      <c r="C203" s="242"/>
      <c r="D203" s="242"/>
    </row>
    <row r="204" spans="1:4" ht="14.25">
      <c r="A204" s="1"/>
      <c r="B204" s="85"/>
      <c r="C204" s="242"/>
      <c r="D204" s="242"/>
    </row>
    <row r="205" spans="1:4" ht="14.25">
      <c r="A205" s="1"/>
      <c r="B205" s="85"/>
      <c r="C205" s="242"/>
      <c r="D205" s="242"/>
    </row>
    <row r="206" spans="1:4" ht="14.25">
      <c r="A206" s="1"/>
      <c r="B206" s="85"/>
      <c r="C206" s="242"/>
      <c r="D206" s="242"/>
    </row>
    <row r="207" spans="1:4" ht="14.25">
      <c r="A207" s="1"/>
      <c r="B207" s="85"/>
      <c r="C207" s="242"/>
      <c r="D207" s="242"/>
    </row>
    <row r="208" spans="1:4" ht="14.25">
      <c r="A208" s="1"/>
      <c r="B208" s="85"/>
      <c r="C208" s="242"/>
      <c r="D208" s="242"/>
    </row>
    <row r="209" spans="1:4" ht="14.25">
      <c r="A209" s="1"/>
      <c r="B209" s="85"/>
      <c r="C209" s="242"/>
      <c r="D209" s="242"/>
    </row>
    <row r="210" spans="1:4" ht="14.25">
      <c r="A210" s="1"/>
      <c r="B210" s="85"/>
      <c r="C210" s="242"/>
      <c r="D210" s="242"/>
    </row>
    <row r="211" spans="1:4" ht="14.25">
      <c r="A211" s="1"/>
      <c r="B211" s="85"/>
      <c r="C211" s="242"/>
      <c r="D211" s="242"/>
    </row>
    <row r="212" spans="1:4" ht="14.25">
      <c r="A212" s="1"/>
      <c r="B212" s="85"/>
      <c r="C212" s="242"/>
      <c r="D212" s="242"/>
    </row>
    <row r="213" spans="1:4" ht="14.25">
      <c r="A213" s="1"/>
      <c r="B213" s="85"/>
      <c r="C213" s="242"/>
      <c r="D213" s="242"/>
    </row>
    <row r="214" spans="1:4" ht="14.25">
      <c r="A214" s="1"/>
      <c r="B214" s="85"/>
      <c r="C214" s="242"/>
      <c r="D214" s="242"/>
    </row>
    <row r="215" spans="1:4" ht="14.25">
      <c r="A215" s="1"/>
      <c r="B215" s="85"/>
      <c r="C215" s="242"/>
      <c r="D215" s="242"/>
    </row>
    <row r="216" spans="1:4" ht="14.25">
      <c r="A216" s="1"/>
      <c r="B216" s="85"/>
      <c r="C216" s="242"/>
      <c r="D216" s="242"/>
    </row>
    <row r="217" spans="1:4" ht="14.25">
      <c r="A217" s="1"/>
      <c r="B217" s="85"/>
      <c r="C217" s="242"/>
      <c r="D217" s="242"/>
    </row>
    <row r="218" spans="1:4" ht="14.25">
      <c r="A218" s="1"/>
      <c r="B218" s="85"/>
      <c r="C218" s="242"/>
      <c r="D218" s="242"/>
    </row>
    <row r="219" spans="1:4" ht="14.25">
      <c r="A219" s="1"/>
      <c r="B219" s="85"/>
      <c r="C219" s="242"/>
      <c r="D219" s="242"/>
    </row>
    <row r="220" spans="1:4" ht="14.25">
      <c r="A220" s="1"/>
      <c r="B220" s="85"/>
      <c r="C220" s="242"/>
      <c r="D220" s="242"/>
    </row>
    <row r="221" spans="1:4" ht="14.25">
      <c r="A221" s="1"/>
      <c r="B221" s="85"/>
      <c r="C221" s="242"/>
      <c r="D221" s="242"/>
    </row>
    <row r="222" spans="1:4" ht="14.25">
      <c r="A222" s="1"/>
      <c r="B222" s="85"/>
      <c r="C222" s="242"/>
      <c r="D222" s="242"/>
    </row>
    <row r="223" spans="1:4" ht="14.25">
      <c r="A223" s="1"/>
      <c r="B223" s="85"/>
      <c r="C223" s="242"/>
      <c r="D223" s="242"/>
    </row>
    <row r="224" spans="1:4" ht="14.25">
      <c r="A224" s="1"/>
      <c r="B224" s="85"/>
      <c r="C224" s="242"/>
      <c r="D224" s="242"/>
    </row>
    <row r="225" spans="1:4" ht="14.25">
      <c r="A225" s="1"/>
      <c r="B225" s="85"/>
      <c r="C225" s="242"/>
      <c r="D225" s="242"/>
    </row>
    <row r="226" spans="1:4" ht="14.25">
      <c r="A226" s="1"/>
      <c r="B226" s="85"/>
      <c r="C226" s="242"/>
      <c r="D226" s="242"/>
    </row>
    <row r="227" spans="1:4" ht="14.25">
      <c r="A227" s="1"/>
      <c r="B227" s="85"/>
      <c r="C227" s="242"/>
      <c r="D227" s="242"/>
    </row>
    <row r="228" spans="1:4" ht="14.25">
      <c r="A228" s="1"/>
      <c r="B228" s="85"/>
      <c r="C228" s="242"/>
      <c r="D228" s="242"/>
    </row>
    <row r="229" spans="1:4" ht="14.25">
      <c r="A229" s="1"/>
      <c r="B229" s="85"/>
      <c r="C229" s="242"/>
      <c r="D229" s="242"/>
    </row>
    <row r="230" spans="1:4" ht="14.25">
      <c r="A230" s="1"/>
      <c r="B230" s="85"/>
      <c r="C230" s="242"/>
      <c r="D230" s="242"/>
    </row>
    <row r="231" spans="1:4" ht="14.25">
      <c r="A231" s="1"/>
      <c r="B231" s="85"/>
      <c r="C231" s="242"/>
      <c r="D231" s="242"/>
    </row>
    <row r="232" spans="1:4" ht="14.25">
      <c r="A232" s="1"/>
      <c r="B232" s="85"/>
      <c r="C232" s="242"/>
      <c r="D232" s="242"/>
    </row>
    <row r="233" spans="1:4" ht="14.25">
      <c r="A233" s="1"/>
      <c r="B233" s="85"/>
      <c r="C233" s="242"/>
      <c r="D233" s="242"/>
    </row>
    <row r="234" spans="1:4" ht="14.25">
      <c r="A234" s="1"/>
      <c r="B234" s="85"/>
      <c r="C234" s="242"/>
      <c r="D234" s="242"/>
    </row>
    <row r="235" spans="1:4" ht="14.25">
      <c r="A235" s="1"/>
      <c r="B235" s="85"/>
      <c r="C235" s="242"/>
      <c r="D235" s="242"/>
    </row>
    <row r="236" spans="1:4" ht="14.25">
      <c r="A236" s="1"/>
      <c r="B236" s="85"/>
      <c r="C236" s="242"/>
      <c r="D236" s="242"/>
    </row>
    <row r="237" spans="1:4" ht="14.25">
      <c r="A237" s="1"/>
      <c r="B237" s="85"/>
      <c r="C237" s="242"/>
      <c r="D237" s="242"/>
    </row>
    <row r="238" spans="1:4" ht="14.25">
      <c r="A238" s="1"/>
      <c r="B238" s="85"/>
      <c r="C238" s="242"/>
      <c r="D238" s="242"/>
    </row>
    <row r="239" spans="1:4" ht="14.25">
      <c r="A239" s="1"/>
      <c r="B239" s="85"/>
      <c r="C239" s="242"/>
      <c r="D239" s="242"/>
    </row>
    <row r="240" spans="1:4" ht="14.25">
      <c r="A240" s="1"/>
      <c r="B240" s="85"/>
      <c r="C240" s="242"/>
      <c r="D240" s="242"/>
    </row>
    <row r="241" spans="1:4" ht="14.25">
      <c r="A241" s="1"/>
      <c r="B241" s="85"/>
      <c r="C241" s="242"/>
      <c r="D241" s="242"/>
    </row>
    <row r="242" spans="1:4" ht="14.25">
      <c r="A242" s="1"/>
      <c r="B242" s="85"/>
      <c r="C242" s="242"/>
      <c r="D242" s="242"/>
    </row>
    <row r="243" spans="1:4" ht="14.25">
      <c r="A243" s="1"/>
      <c r="B243" s="85"/>
      <c r="C243" s="242"/>
      <c r="D243" s="242"/>
    </row>
    <row r="244" spans="1:4" ht="14.25">
      <c r="A244" s="1"/>
      <c r="B244" s="85"/>
      <c r="C244" s="242"/>
      <c r="D244" s="242"/>
    </row>
    <row r="245" spans="1:4" ht="14.25">
      <c r="A245" s="1"/>
      <c r="B245" s="85"/>
      <c r="C245" s="242"/>
      <c r="D245" s="242"/>
    </row>
    <row r="246" spans="1:4" ht="14.25">
      <c r="A246" s="1"/>
      <c r="B246" s="85"/>
      <c r="C246" s="242"/>
      <c r="D246" s="242"/>
    </row>
    <row r="247" spans="1:4" ht="14.25">
      <c r="A247" s="1"/>
      <c r="B247" s="85"/>
      <c r="C247" s="242"/>
      <c r="D247" s="242"/>
    </row>
    <row r="248" spans="1:4" ht="14.25">
      <c r="A248" s="1"/>
      <c r="B248" s="85"/>
      <c r="C248" s="242"/>
      <c r="D248" s="242"/>
    </row>
    <row r="249" spans="1:4" ht="14.25">
      <c r="A249" s="1"/>
      <c r="B249" s="85"/>
      <c r="C249" s="242"/>
      <c r="D249" s="242"/>
    </row>
    <row r="250" spans="1:4" ht="14.25">
      <c r="A250" s="1"/>
      <c r="B250" s="85"/>
      <c r="C250" s="242"/>
      <c r="D250" s="242"/>
    </row>
    <row r="251" spans="1:4" ht="14.25">
      <c r="A251" s="1"/>
      <c r="B251" s="85"/>
      <c r="C251" s="242"/>
      <c r="D251" s="242"/>
    </row>
    <row r="252" spans="1:4" ht="14.25">
      <c r="A252" s="1"/>
      <c r="B252" s="85"/>
      <c r="C252" s="242"/>
      <c r="D252" s="242"/>
    </row>
    <row r="253" spans="1:4" ht="14.25">
      <c r="A253" s="1"/>
      <c r="B253" s="85"/>
      <c r="C253" s="242"/>
      <c r="D253" s="242"/>
    </row>
    <row r="254" spans="1:4" ht="14.25">
      <c r="A254" s="1"/>
      <c r="B254" s="85"/>
      <c r="C254" s="242"/>
      <c r="D254" s="242"/>
    </row>
    <row r="255" spans="1:4" ht="14.25">
      <c r="A255" s="1"/>
      <c r="B255" s="85"/>
      <c r="C255" s="242"/>
      <c r="D255" s="242"/>
    </row>
    <row r="256" spans="1:4" ht="14.25">
      <c r="A256" s="1"/>
      <c r="B256" s="85"/>
      <c r="C256" s="242"/>
      <c r="D256" s="242"/>
    </row>
    <row r="257" spans="1:4" ht="14.25">
      <c r="A257" s="1"/>
      <c r="B257" s="85"/>
      <c r="C257" s="242"/>
      <c r="D257" s="242"/>
    </row>
    <row r="258" spans="1:4" ht="14.25">
      <c r="A258" s="1"/>
      <c r="B258" s="85"/>
      <c r="C258" s="242"/>
      <c r="D258" s="242"/>
    </row>
    <row r="259" spans="1:4" ht="14.25">
      <c r="A259" s="1"/>
      <c r="B259" s="85"/>
      <c r="C259" s="242"/>
      <c r="D259" s="242"/>
    </row>
    <row r="260" spans="1:4" ht="14.25">
      <c r="A260" s="1"/>
      <c r="B260" s="85"/>
      <c r="C260" s="242"/>
      <c r="D260" s="242"/>
    </row>
    <row r="261" spans="1:4" ht="14.25">
      <c r="A261" s="1"/>
      <c r="B261" s="85"/>
      <c r="C261" s="242"/>
      <c r="D261" s="242"/>
    </row>
    <row r="262" spans="1:4" ht="14.25">
      <c r="A262" s="1"/>
      <c r="B262" s="85"/>
      <c r="C262" s="242"/>
      <c r="D262" s="242"/>
    </row>
    <row r="263" spans="1:4" ht="14.25">
      <c r="A263" s="1"/>
      <c r="B263" s="85"/>
      <c r="C263" s="242"/>
      <c r="D263" s="242"/>
    </row>
    <row r="264" spans="1:4" ht="14.25">
      <c r="A264" s="1"/>
      <c r="B264" s="85"/>
      <c r="C264" s="242"/>
      <c r="D264" s="242"/>
    </row>
    <row r="265" spans="1:4" ht="14.25">
      <c r="A265" s="1"/>
      <c r="B265" s="85"/>
      <c r="C265" s="242"/>
      <c r="D265" s="242"/>
    </row>
    <row r="266" spans="1:4" ht="14.25">
      <c r="A266" s="1"/>
      <c r="B266" s="85"/>
      <c r="C266" s="242"/>
      <c r="D266" s="242"/>
    </row>
    <row r="267" spans="1:4" ht="14.25">
      <c r="A267" s="1"/>
      <c r="B267" s="85"/>
      <c r="C267" s="242"/>
      <c r="D267" s="242"/>
    </row>
    <row r="268" spans="1:4" ht="14.25">
      <c r="A268" s="1"/>
      <c r="B268" s="85"/>
      <c r="C268" s="242"/>
      <c r="D268" s="242"/>
    </row>
    <row r="269" spans="1:4" ht="14.25">
      <c r="A269" s="1"/>
      <c r="B269" s="85"/>
      <c r="C269" s="242"/>
      <c r="D269" s="242"/>
    </row>
    <row r="270" spans="1:4" ht="14.25">
      <c r="A270" s="1"/>
      <c r="B270" s="85"/>
      <c r="C270" s="242"/>
      <c r="D270" s="242"/>
    </row>
    <row r="271" spans="1:4" ht="14.25">
      <c r="A271" s="1"/>
      <c r="B271" s="85"/>
      <c r="C271" s="242"/>
      <c r="D271" s="242"/>
    </row>
    <row r="272" spans="1:4" ht="14.25">
      <c r="A272" s="1"/>
      <c r="B272" s="85"/>
      <c r="C272" s="242"/>
      <c r="D272" s="242"/>
    </row>
    <row r="273" spans="1:4" ht="14.25">
      <c r="A273" s="1"/>
      <c r="B273" s="85"/>
      <c r="C273" s="242"/>
      <c r="D273" s="242"/>
    </row>
    <row r="274" spans="1:4" ht="14.25">
      <c r="A274" s="1"/>
      <c r="B274" s="85"/>
      <c r="C274" s="242"/>
      <c r="D274" s="242"/>
    </row>
    <row r="275" spans="1:4" ht="14.25">
      <c r="A275" s="1"/>
      <c r="B275" s="85"/>
      <c r="C275" s="242"/>
      <c r="D275" s="242"/>
    </row>
    <row r="276" spans="1:4" ht="14.25">
      <c r="A276" s="1"/>
      <c r="B276" s="85"/>
      <c r="C276" s="242"/>
      <c r="D276" s="242"/>
    </row>
    <row r="277" spans="1:4" ht="14.25">
      <c r="A277" s="1"/>
      <c r="B277" s="85"/>
      <c r="C277" s="242"/>
      <c r="D277" s="242"/>
    </row>
    <row r="278" spans="1:4" ht="14.25">
      <c r="A278" s="1"/>
      <c r="B278" s="85"/>
      <c r="C278" s="242"/>
      <c r="D278" s="242"/>
    </row>
    <row r="279" spans="1:4" ht="14.25">
      <c r="A279" s="1"/>
      <c r="B279" s="85"/>
      <c r="C279" s="242"/>
      <c r="D279" s="242"/>
    </row>
    <row r="280" spans="1:4" ht="14.25">
      <c r="A280" s="1"/>
      <c r="B280" s="85"/>
      <c r="C280" s="242"/>
      <c r="D280" s="242"/>
    </row>
    <row r="281" spans="1:4" ht="14.25">
      <c r="A281" s="1"/>
      <c r="B281" s="85"/>
      <c r="C281" s="242"/>
      <c r="D281" s="242"/>
    </row>
    <row r="282" spans="1:4" ht="14.25">
      <c r="A282" s="1"/>
      <c r="B282" s="85"/>
      <c r="C282" s="242"/>
      <c r="D282" s="242"/>
    </row>
    <row r="283" spans="1:4" ht="14.25">
      <c r="A283" s="1"/>
      <c r="B283" s="85"/>
      <c r="C283" s="242"/>
      <c r="D283" s="242"/>
    </row>
  </sheetData>
  <printOptions horizontalCentered="1"/>
  <pageMargins left="0.984251968503937" right="0.984251968503937" top="0.3937007874015748" bottom="0.31496062992125984" header="0.11811023622047245" footer="0.11811023622047245"/>
  <pageSetup fitToHeight="1" fitToWidth="1" horizontalDpi="600" verticalDpi="600" orientation="portrait" paperSize="9" scale="57" r:id="rId1"/>
  <headerFooter alignWithMargins="0">
    <oddHeader>&amp;L&amp;9MCI Management&amp;10 Spółka Akcyjna&amp;CSA-RS 2002&amp;Rw tys. zł</oddHeader>
    <oddFooter>&amp;CKomisja Papierów Warościowych i Giełd</oddFooter>
  </headerFooter>
</worksheet>
</file>

<file path=xl/worksheets/sheet3.xml><?xml version="1.0" encoding="utf-8"?>
<worksheet xmlns="http://schemas.openxmlformats.org/spreadsheetml/2006/main" xmlns:r="http://schemas.openxmlformats.org/officeDocument/2006/relationships">
  <dimension ref="A1:H1678"/>
  <sheetViews>
    <sheetView zoomScaleSheetLayoutView="80" workbookViewId="0" topLeftCell="A1">
      <selection activeCell="A1" sqref="A1"/>
    </sheetView>
  </sheetViews>
  <sheetFormatPr defaultColWidth="9.00390625" defaultRowHeight="12.75"/>
  <cols>
    <col min="1" max="1" width="73.00390625" style="439" customWidth="1"/>
    <col min="2" max="2" width="12.375" style="440" customWidth="1"/>
    <col min="3" max="4" width="17.75390625" style="441" customWidth="1"/>
    <col min="5" max="5" width="48.875" style="0" bestFit="1" customWidth="1"/>
  </cols>
  <sheetData>
    <row r="1" spans="1:4" ht="15">
      <c r="A1" s="213" t="s">
        <v>349</v>
      </c>
      <c r="B1" s="357"/>
      <c r="C1" s="358"/>
      <c r="D1" s="358"/>
    </row>
    <row r="2" spans="1:4" ht="15" thickBot="1">
      <c r="A2" s="359"/>
      <c r="B2" s="357"/>
      <c r="C2" s="358"/>
      <c r="D2" s="358"/>
    </row>
    <row r="3" spans="1:4" s="445" customFormat="1" ht="15.75" thickBot="1">
      <c r="A3" s="704"/>
      <c r="B3" s="705" t="s">
        <v>919</v>
      </c>
      <c r="C3" s="705">
        <v>2002</v>
      </c>
      <c r="D3" s="706">
        <v>2001</v>
      </c>
    </row>
    <row r="4" spans="1:4" ht="30">
      <c r="A4" s="700" t="s">
        <v>836</v>
      </c>
      <c r="B4" s="701"/>
      <c r="C4" s="702">
        <f>C6+C7</f>
        <v>37248</v>
      </c>
      <c r="D4" s="703">
        <f>D6+D7</f>
        <v>59168</v>
      </c>
    </row>
    <row r="5" spans="1:4" ht="14.25">
      <c r="A5" s="96" t="s">
        <v>198</v>
      </c>
      <c r="B5" s="360"/>
      <c r="C5" s="393">
        <f>C1418</f>
        <v>57</v>
      </c>
      <c r="D5" s="419">
        <f>D1418</f>
        <v>0</v>
      </c>
    </row>
    <row r="6" spans="1:4" ht="14.25">
      <c r="A6" s="96" t="s">
        <v>350</v>
      </c>
      <c r="B6" s="360">
        <v>24</v>
      </c>
      <c r="C6" s="393">
        <f>C1417</f>
        <v>12281</v>
      </c>
      <c r="D6" s="419">
        <f>D1417</f>
        <v>17638</v>
      </c>
    </row>
    <row r="7" spans="1:4" ht="14.25">
      <c r="A7" s="96" t="s">
        <v>351</v>
      </c>
      <c r="B7" s="360">
        <v>25</v>
      </c>
      <c r="C7" s="393">
        <f>C1459</f>
        <v>24967</v>
      </c>
      <c r="D7" s="419">
        <f>D1459</f>
        <v>41530</v>
      </c>
    </row>
    <row r="8" spans="1:4" ht="15">
      <c r="A8" s="252" t="s">
        <v>837</v>
      </c>
      <c r="B8" s="360"/>
      <c r="C8" s="474">
        <f>C10+C11</f>
        <v>27487</v>
      </c>
      <c r="D8" s="475">
        <f>D10+D11</f>
        <v>43890</v>
      </c>
    </row>
    <row r="9" spans="1:4" ht="14.25">
      <c r="A9" s="96" t="s">
        <v>198</v>
      </c>
      <c r="B9" s="360"/>
      <c r="C9" s="393"/>
      <c r="D9" s="419"/>
    </row>
    <row r="10" spans="1:4" ht="14.25">
      <c r="A10" s="96" t="s">
        <v>352</v>
      </c>
      <c r="B10" s="360">
        <v>26</v>
      </c>
      <c r="C10" s="393">
        <f>C1477</f>
        <v>4906</v>
      </c>
      <c r="D10" s="419">
        <f>D1477</f>
        <v>7074</v>
      </c>
    </row>
    <row r="11" spans="1:4" ht="14.25">
      <c r="A11" s="96" t="s">
        <v>353</v>
      </c>
      <c r="B11" s="360"/>
      <c r="C11" s="393">
        <v>22581</v>
      </c>
      <c r="D11" s="419">
        <v>36816</v>
      </c>
    </row>
    <row r="12" spans="1:4" ht="15">
      <c r="A12" s="252" t="s">
        <v>838</v>
      </c>
      <c r="B12" s="360"/>
      <c r="C12" s="474">
        <f>C4-C8</f>
        <v>9761</v>
      </c>
      <c r="D12" s="475">
        <f>D4-D8</f>
        <v>15278</v>
      </c>
    </row>
    <row r="13" spans="1:4" ht="14.25">
      <c r="A13" s="96" t="s">
        <v>354</v>
      </c>
      <c r="B13" s="360">
        <v>26</v>
      </c>
      <c r="C13" s="393">
        <f>-C1475</f>
        <v>450</v>
      </c>
      <c r="D13" s="419"/>
    </row>
    <row r="14" spans="1:5" ht="14.25">
      <c r="A14" s="96" t="s">
        <v>355</v>
      </c>
      <c r="B14" s="360">
        <v>26</v>
      </c>
      <c r="C14" s="393">
        <f>-C1476</f>
        <v>14858</v>
      </c>
      <c r="D14" s="419">
        <f>-D1476</f>
        <v>21342</v>
      </c>
      <c r="E14" s="476"/>
    </row>
    <row r="15" spans="1:4" ht="15">
      <c r="A15" s="252" t="s">
        <v>356</v>
      </c>
      <c r="B15" s="360"/>
      <c r="C15" s="474">
        <f>C12-C13-C14</f>
        <v>-5547</v>
      </c>
      <c r="D15" s="475">
        <f>D12-D13-D14</f>
        <v>-6064</v>
      </c>
    </row>
    <row r="16" spans="1:4" ht="14.25">
      <c r="A16" s="96" t="s">
        <v>357</v>
      </c>
      <c r="B16" s="360"/>
      <c r="C16" s="393">
        <f>SUM(C17:C19)</f>
        <v>920</v>
      </c>
      <c r="D16" s="419">
        <f>SUM(D17:D19)</f>
        <v>521</v>
      </c>
    </row>
    <row r="17" spans="1:4" ht="14.25">
      <c r="A17" s="96" t="s">
        <v>172</v>
      </c>
      <c r="B17" s="360"/>
      <c r="C17" s="393">
        <f>7-1</f>
        <v>6</v>
      </c>
      <c r="D17" s="419">
        <v>19</v>
      </c>
    </row>
    <row r="18" spans="1:4" ht="14.25">
      <c r="A18" s="96" t="s">
        <v>173</v>
      </c>
      <c r="B18" s="360"/>
      <c r="C18" s="393"/>
      <c r="D18" s="419"/>
    </row>
    <row r="19" spans="1:4" ht="14.25">
      <c r="A19" s="96" t="s">
        <v>174</v>
      </c>
      <c r="B19" s="360">
        <v>27</v>
      </c>
      <c r="C19" s="393">
        <f>C1489</f>
        <v>914</v>
      </c>
      <c r="D19" s="419">
        <f>D1489</f>
        <v>502</v>
      </c>
    </row>
    <row r="20" spans="1:4" ht="14.25">
      <c r="A20" s="96" t="s">
        <v>358</v>
      </c>
      <c r="B20" s="360"/>
      <c r="C20" s="393">
        <f>SUM(C21:C23)</f>
        <v>694</v>
      </c>
      <c r="D20" s="419">
        <f>SUM(D21:D23)</f>
        <v>3244</v>
      </c>
    </row>
    <row r="21" spans="1:4" ht="14.25">
      <c r="A21" s="96" t="s">
        <v>175</v>
      </c>
      <c r="B21" s="360"/>
      <c r="C21" s="393">
        <v>15</v>
      </c>
      <c r="D21" s="419">
        <v>22</v>
      </c>
    </row>
    <row r="22" spans="1:4" ht="14.25">
      <c r="A22" s="96" t="s">
        <v>176</v>
      </c>
      <c r="B22" s="360"/>
      <c r="C22" s="393">
        <v>178</v>
      </c>
      <c r="D22" s="419">
        <v>2375</v>
      </c>
    </row>
    <row r="23" spans="1:4" ht="14.25">
      <c r="A23" s="96" t="s">
        <v>177</v>
      </c>
      <c r="B23" s="360">
        <v>28</v>
      </c>
      <c r="C23" s="393">
        <f>C1503</f>
        <v>501</v>
      </c>
      <c r="D23" s="419">
        <f>D1503</f>
        <v>847</v>
      </c>
    </row>
    <row r="24" spans="1:4" ht="15">
      <c r="A24" s="252" t="s">
        <v>178</v>
      </c>
      <c r="B24" s="360"/>
      <c r="C24" s="474">
        <f>C15+C16-C20</f>
        <v>-5321</v>
      </c>
      <c r="D24" s="475">
        <f>D15+D16-D20</f>
        <v>-8787</v>
      </c>
    </row>
    <row r="25" spans="1:4" ht="14.25">
      <c r="A25" s="96" t="s">
        <v>179</v>
      </c>
      <c r="B25" s="360">
        <v>29</v>
      </c>
      <c r="C25" s="393">
        <f>C26+C28+C30+C31+C32</f>
        <v>1752</v>
      </c>
      <c r="D25" s="419">
        <f>D26+D28+D30+D31+D32</f>
        <v>12999</v>
      </c>
    </row>
    <row r="26" spans="1:4" ht="14.25">
      <c r="A26" s="96" t="s">
        <v>180</v>
      </c>
      <c r="B26" s="360"/>
      <c r="C26" s="393">
        <f>C1515</f>
        <v>0</v>
      </c>
      <c r="D26" s="419">
        <f>D1515</f>
        <v>0</v>
      </c>
    </row>
    <row r="27" spans="1:4" ht="14.25">
      <c r="A27" s="96" t="s">
        <v>198</v>
      </c>
      <c r="B27" s="360"/>
      <c r="C27" s="393">
        <f>C1508</f>
        <v>0</v>
      </c>
      <c r="D27" s="419">
        <f>D1508</f>
        <v>0</v>
      </c>
    </row>
    <row r="28" spans="1:4" ht="14.25">
      <c r="A28" s="96" t="s">
        <v>181</v>
      </c>
      <c r="B28" s="360"/>
      <c r="C28" s="393">
        <f>C1535</f>
        <v>1484</v>
      </c>
      <c r="D28" s="419">
        <f>D1535</f>
        <v>2671</v>
      </c>
    </row>
    <row r="29" spans="1:4" ht="14.25">
      <c r="A29" s="96" t="s">
        <v>198</v>
      </c>
      <c r="B29" s="360"/>
      <c r="C29" s="393">
        <f>C1520+C1528</f>
        <v>651</v>
      </c>
      <c r="D29" s="419">
        <f>D1520+D1528</f>
        <v>835</v>
      </c>
    </row>
    <row r="30" spans="1:4" ht="14.25">
      <c r="A30" s="96" t="s">
        <v>182</v>
      </c>
      <c r="B30" s="360">
        <v>31</v>
      </c>
      <c r="C30" s="393">
        <f>238-98</f>
        <v>140</v>
      </c>
      <c r="D30" s="419">
        <v>2990</v>
      </c>
    </row>
    <row r="31" spans="1:4" ht="14.25">
      <c r="A31" s="96" t="s">
        <v>183</v>
      </c>
      <c r="B31" s="360"/>
      <c r="C31" s="393">
        <v>0</v>
      </c>
      <c r="D31" s="419">
        <v>7267</v>
      </c>
    </row>
    <row r="32" spans="1:4" ht="14.25">
      <c r="A32" s="96" t="s">
        <v>184</v>
      </c>
      <c r="B32" s="360"/>
      <c r="C32" s="393">
        <f>C1545</f>
        <v>128</v>
      </c>
      <c r="D32" s="419">
        <f>D1545</f>
        <v>71</v>
      </c>
    </row>
    <row r="33" spans="1:4" ht="14.25">
      <c r="A33" s="96" t="s">
        <v>185</v>
      </c>
      <c r="B33" s="360">
        <v>30</v>
      </c>
      <c r="C33" s="393">
        <f>C34+C36+C37+C38</f>
        <v>14886</v>
      </c>
      <c r="D33" s="419">
        <f>D34+D36+D37+D38</f>
        <v>11250</v>
      </c>
    </row>
    <row r="34" spans="1:4" ht="14.25">
      <c r="A34" s="96" t="s">
        <v>186</v>
      </c>
      <c r="B34" s="360"/>
      <c r="C34" s="393">
        <f>C1566</f>
        <v>1240</v>
      </c>
      <c r="D34" s="419">
        <f>D1566</f>
        <v>949</v>
      </c>
    </row>
    <row r="35" spans="1:4" ht="14.25">
      <c r="A35" s="253" t="s">
        <v>199</v>
      </c>
      <c r="B35" s="360"/>
      <c r="C35" s="393">
        <f>C1551+C1559</f>
        <v>0</v>
      </c>
      <c r="D35" s="419">
        <f>D1551+D1559</f>
        <v>31</v>
      </c>
    </row>
    <row r="36" spans="1:4" ht="14.25">
      <c r="A36" s="96" t="s">
        <v>187</v>
      </c>
      <c r="B36" s="360">
        <v>31</v>
      </c>
      <c r="C36" s="393">
        <v>4463</v>
      </c>
      <c r="D36" s="419">
        <v>6241</v>
      </c>
    </row>
    <row r="37" spans="1:4" ht="14.25">
      <c r="A37" s="96" t="s">
        <v>188</v>
      </c>
      <c r="B37" s="360"/>
      <c r="C37" s="393">
        <v>5557</v>
      </c>
      <c r="D37" s="364">
        <v>1760</v>
      </c>
    </row>
    <row r="38" spans="1:4" ht="14.25">
      <c r="A38" s="96" t="s">
        <v>189</v>
      </c>
      <c r="B38" s="360"/>
      <c r="C38" s="393">
        <f>C1581</f>
        <v>3626</v>
      </c>
      <c r="D38" s="364">
        <f>D1581</f>
        <v>2300</v>
      </c>
    </row>
    <row r="39" spans="1:4" ht="30">
      <c r="A39" s="252" t="s">
        <v>360</v>
      </c>
      <c r="B39" s="360"/>
      <c r="C39" s="474">
        <v>147</v>
      </c>
      <c r="D39" s="362"/>
    </row>
    <row r="40" spans="1:4" ht="15">
      <c r="A40" s="252" t="s">
        <v>190</v>
      </c>
      <c r="B40" s="360"/>
      <c r="C40" s="474">
        <f>C24+C25-C33+C39</f>
        <v>-18308</v>
      </c>
      <c r="D40" s="362">
        <f>D24+D25-D33</f>
        <v>-7038</v>
      </c>
    </row>
    <row r="41" spans="1:4" ht="15">
      <c r="A41" s="252" t="s">
        <v>191</v>
      </c>
      <c r="B41" s="360"/>
      <c r="C41" s="474">
        <f>C42-C43</f>
        <v>0</v>
      </c>
      <c r="D41" s="362">
        <f>D42-D43</f>
        <v>20</v>
      </c>
    </row>
    <row r="42" spans="1:4" ht="14.25">
      <c r="A42" s="96" t="s">
        <v>359</v>
      </c>
      <c r="B42" s="360">
        <v>32</v>
      </c>
      <c r="C42" s="393">
        <f>C1598</f>
        <v>0</v>
      </c>
      <c r="D42" s="364">
        <f>D1592</f>
        <v>38</v>
      </c>
    </row>
    <row r="43" spans="1:4" ht="14.25">
      <c r="A43" s="96" t="s">
        <v>365</v>
      </c>
      <c r="B43" s="360">
        <v>33</v>
      </c>
      <c r="C43" s="393">
        <f>C1607</f>
        <v>0</v>
      </c>
      <c r="D43" s="364">
        <f>D1603</f>
        <v>18</v>
      </c>
    </row>
    <row r="44" spans="1:4" ht="15">
      <c r="A44" s="252" t="s">
        <v>363</v>
      </c>
      <c r="B44" s="513"/>
      <c r="C44" s="474">
        <v>1120</v>
      </c>
      <c r="D44" s="362">
        <v>5086</v>
      </c>
    </row>
    <row r="45" spans="1:4" ht="15">
      <c r="A45" s="252" t="s">
        <v>364</v>
      </c>
      <c r="B45" s="513"/>
      <c r="C45" s="474">
        <v>0</v>
      </c>
      <c r="D45" s="362">
        <v>0</v>
      </c>
    </row>
    <row r="46" spans="1:4" ht="15">
      <c r="A46" s="252" t="s">
        <v>192</v>
      </c>
      <c r="B46" s="360"/>
      <c r="C46" s="474">
        <f>C40+C41-C44</f>
        <v>-19428</v>
      </c>
      <c r="D46" s="362">
        <f>D40+D41-D44</f>
        <v>-12104</v>
      </c>
    </row>
    <row r="47" spans="1:4" ht="14.25">
      <c r="A47" s="96" t="s">
        <v>193</v>
      </c>
      <c r="B47" s="360">
        <v>34</v>
      </c>
      <c r="C47" s="393">
        <f>C48+C49</f>
        <v>-1708</v>
      </c>
      <c r="D47" s="364">
        <f>D48+D49</f>
        <v>116</v>
      </c>
    </row>
    <row r="48" spans="1:4" ht="14.25">
      <c r="A48" s="96" t="s">
        <v>194</v>
      </c>
      <c r="B48" s="360"/>
      <c r="C48" s="393">
        <f>C1622</f>
        <v>141</v>
      </c>
      <c r="D48" s="364">
        <f>D1622</f>
        <v>0</v>
      </c>
    </row>
    <row r="49" spans="1:4" ht="14.25">
      <c r="A49" s="96" t="s">
        <v>195</v>
      </c>
      <c r="B49" s="360"/>
      <c r="C49" s="393">
        <f>C1635</f>
        <v>-1849</v>
      </c>
      <c r="D49" s="364">
        <f>D1635</f>
        <v>116</v>
      </c>
    </row>
    <row r="50" spans="1:4" ht="14.25">
      <c r="A50" s="96" t="s">
        <v>196</v>
      </c>
      <c r="B50" s="360">
        <v>35</v>
      </c>
      <c r="C50" s="393">
        <f>C1657</f>
        <v>0</v>
      </c>
      <c r="D50" s="364">
        <f>D1657</f>
        <v>0</v>
      </c>
    </row>
    <row r="51" spans="1:4" ht="28.5">
      <c r="A51" s="96" t="s">
        <v>197</v>
      </c>
      <c r="B51" s="365">
        <v>36</v>
      </c>
      <c r="C51" s="514">
        <f>SUM(C1662:C1664)</f>
        <v>0</v>
      </c>
      <c r="D51" s="367">
        <f>SUM(D1662:D1664)</f>
        <v>0</v>
      </c>
    </row>
    <row r="52" spans="1:4" ht="15">
      <c r="A52" s="252" t="s">
        <v>381</v>
      </c>
      <c r="B52" s="365"/>
      <c r="C52" s="514">
        <v>-1392</v>
      </c>
      <c r="D52" s="367">
        <v>-3926</v>
      </c>
    </row>
    <row r="53" spans="1:4" ht="15">
      <c r="A53" s="252" t="s">
        <v>382</v>
      </c>
      <c r="B53" s="360"/>
      <c r="C53" s="474">
        <f>C46-C47-C50-C51-C52</f>
        <v>-16328</v>
      </c>
      <c r="D53" s="362">
        <f>D46-D47-D50-D51-D52</f>
        <v>-8294</v>
      </c>
    </row>
    <row r="54" spans="1:4" ht="14.25">
      <c r="A54" s="254"/>
      <c r="B54" s="368"/>
      <c r="C54" s="369"/>
      <c r="D54" s="370"/>
    </row>
    <row r="55" spans="1:4" ht="15">
      <c r="A55" s="252" t="s">
        <v>200</v>
      </c>
      <c r="B55" s="360"/>
      <c r="C55" s="363">
        <f>C53</f>
        <v>-16328</v>
      </c>
      <c r="D55" s="419">
        <f>D53</f>
        <v>-8294</v>
      </c>
    </row>
    <row r="56" spans="1:4" ht="15">
      <c r="A56" s="252" t="s">
        <v>366</v>
      </c>
      <c r="B56" s="360"/>
      <c r="C56" s="363">
        <v>37800000</v>
      </c>
      <c r="D56" s="364">
        <v>37800000</v>
      </c>
    </row>
    <row r="57" spans="1:4" ht="15">
      <c r="A57" s="252" t="s">
        <v>367</v>
      </c>
      <c r="B57" s="360">
        <v>38</v>
      </c>
      <c r="C57" s="371">
        <f>C55/C56*1000</f>
        <v>-0.431957671957672</v>
      </c>
      <c r="D57" s="372">
        <f>D55/D56*1000</f>
        <v>-0.21941798941798943</v>
      </c>
    </row>
    <row r="58" spans="1:4" ht="15">
      <c r="A58" s="252" t="s">
        <v>201</v>
      </c>
      <c r="B58" s="360"/>
      <c r="C58" s="363">
        <v>37800000</v>
      </c>
      <c r="D58" s="364">
        <v>37800000</v>
      </c>
    </row>
    <row r="59" spans="1:4" ht="15.75" thickBot="1">
      <c r="A59" s="255" t="s">
        <v>368</v>
      </c>
      <c r="B59" s="373">
        <v>38</v>
      </c>
      <c r="C59" s="374">
        <f>C55/C58*1000</f>
        <v>-0.431957671957672</v>
      </c>
      <c r="D59" s="375">
        <f>D55/D58*1000</f>
        <v>-0.21941798941798943</v>
      </c>
    </row>
    <row r="60" spans="1:4" ht="14.25">
      <c r="A60" s="384"/>
      <c r="B60" s="385"/>
      <c r="C60" s="386"/>
      <c r="D60" s="386"/>
    </row>
    <row r="61" spans="1:4" ht="15">
      <c r="A61" s="660" t="s">
        <v>947</v>
      </c>
      <c r="B61" s="400"/>
      <c r="C61" s="400"/>
      <c r="D61" s="400"/>
    </row>
    <row r="62" spans="1:4" ht="6.75" customHeight="1" thickBot="1">
      <c r="A62" s="262"/>
      <c r="B62" s="400"/>
      <c r="C62" s="400"/>
      <c r="D62" s="400"/>
    </row>
    <row r="63" spans="1:4" s="445" customFormat="1" ht="15">
      <c r="A63" s="442"/>
      <c r="B63" s="567"/>
      <c r="C63" s="446">
        <v>2002</v>
      </c>
      <c r="D63" s="444">
        <v>2001</v>
      </c>
    </row>
    <row r="64" spans="1:4" ht="15">
      <c r="A64" s="252" t="s">
        <v>202</v>
      </c>
      <c r="B64" s="559"/>
      <c r="C64" s="559">
        <v>40491</v>
      </c>
      <c r="D64" s="566">
        <v>50029</v>
      </c>
    </row>
    <row r="65" spans="1:4" ht="14.25">
      <c r="A65" s="96" t="s">
        <v>948</v>
      </c>
      <c r="B65" s="560"/>
      <c r="C65" s="560">
        <v>-1224</v>
      </c>
      <c r="D65" s="381">
        <v>-1035</v>
      </c>
    </row>
    <row r="66" spans="1:4" ht="14.25">
      <c r="A66" s="96" t="s">
        <v>203</v>
      </c>
      <c r="B66" s="560"/>
      <c r="C66" s="560">
        <f>C109+C118</f>
        <v>0</v>
      </c>
      <c r="D66" s="381">
        <v>-191</v>
      </c>
    </row>
    <row r="67" spans="1:5" ht="30" customHeight="1">
      <c r="A67" s="252" t="s">
        <v>207</v>
      </c>
      <c r="B67" s="559"/>
      <c r="C67" s="379">
        <f>SUM(C64:C66)</f>
        <v>39267</v>
      </c>
      <c r="D67" s="566">
        <f>SUM(D64:D66)</f>
        <v>48803</v>
      </c>
      <c r="E67" s="326"/>
    </row>
    <row r="68" spans="1:4" ht="15">
      <c r="A68" s="252" t="s">
        <v>208</v>
      </c>
      <c r="B68" s="560"/>
      <c r="C68" s="560">
        <v>37800</v>
      </c>
      <c r="D68" s="381">
        <v>37800</v>
      </c>
    </row>
    <row r="69" spans="1:4" ht="14.25">
      <c r="A69" s="96" t="s">
        <v>209</v>
      </c>
      <c r="B69" s="560"/>
      <c r="C69" s="560"/>
      <c r="D69" s="381"/>
    </row>
    <row r="70" spans="1:4" ht="14.25">
      <c r="A70" s="96" t="s">
        <v>949</v>
      </c>
      <c r="B70" s="560"/>
      <c r="C70" s="560"/>
      <c r="D70" s="381"/>
    </row>
    <row r="71" spans="1:4" ht="14.25">
      <c r="A71" s="96" t="s">
        <v>247</v>
      </c>
      <c r="B71" s="560"/>
      <c r="C71" s="560"/>
      <c r="D71" s="381"/>
    </row>
    <row r="72" spans="1:4" ht="14.25">
      <c r="A72" s="96" t="s">
        <v>950</v>
      </c>
      <c r="B72" s="560"/>
      <c r="C72" s="560"/>
      <c r="D72" s="381"/>
    </row>
    <row r="73" spans="1:4" ht="14.25">
      <c r="A73" s="96" t="s">
        <v>248</v>
      </c>
      <c r="B73" s="560"/>
      <c r="C73" s="560"/>
      <c r="D73" s="381"/>
    </row>
    <row r="74" spans="1:4" ht="15">
      <c r="A74" s="252" t="s">
        <v>210</v>
      </c>
      <c r="B74" s="561"/>
      <c r="C74" s="561">
        <f>C68+C69</f>
        <v>37800</v>
      </c>
      <c r="D74" s="380">
        <f>D68+D69</f>
        <v>37800</v>
      </c>
    </row>
    <row r="75" spans="1:4" ht="15">
      <c r="A75" s="252" t="s">
        <v>211</v>
      </c>
      <c r="B75" s="560"/>
      <c r="C75" s="560"/>
      <c r="D75" s="381"/>
    </row>
    <row r="76" spans="1:4" ht="14.25">
      <c r="A76" s="96" t="s">
        <v>212</v>
      </c>
      <c r="B76" s="560"/>
      <c r="C76" s="560"/>
      <c r="D76" s="381"/>
    </row>
    <row r="77" spans="1:4" ht="14.25">
      <c r="A77" s="96" t="s">
        <v>949</v>
      </c>
      <c r="B77" s="560"/>
      <c r="C77" s="560"/>
      <c r="D77" s="381"/>
    </row>
    <row r="78" spans="1:4" ht="14.25">
      <c r="A78" s="96" t="s">
        <v>950</v>
      </c>
      <c r="B78" s="560"/>
      <c r="C78" s="560"/>
      <c r="D78" s="381"/>
    </row>
    <row r="79" spans="1:4" ht="15">
      <c r="A79" s="252" t="s">
        <v>878</v>
      </c>
      <c r="B79" s="560"/>
      <c r="C79" s="560"/>
      <c r="D79" s="381"/>
    </row>
    <row r="80" spans="1:4" ht="15">
      <c r="A80" s="252" t="s">
        <v>879</v>
      </c>
      <c r="B80" s="560"/>
      <c r="C80" s="560"/>
      <c r="D80" s="381"/>
    </row>
    <row r="81" spans="1:4" ht="14.25">
      <c r="A81" s="96" t="s">
        <v>880</v>
      </c>
      <c r="B81" s="560"/>
      <c r="C81" s="560"/>
      <c r="D81" s="381"/>
    </row>
    <row r="82" spans="1:4" ht="14.25">
      <c r="A82" s="96" t="s">
        <v>949</v>
      </c>
      <c r="B82" s="560"/>
      <c r="C82" s="560"/>
      <c r="D82" s="381"/>
    </row>
    <row r="83" spans="1:4" ht="14.25">
      <c r="A83" s="96" t="s">
        <v>950</v>
      </c>
      <c r="B83" s="560"/>
      <c r="C83" s="560"/>
      <c r="D83" s="381"/>
    </row>
    <row r="84" spans="1:4" ht="15">
      <c r="A84" s="252" t="s">
        <v>881</v>
      </c>
      <c r="B84" s="560"/>
      <c r="C84" s="560"/>
      <c r="D84" s="381"/>
    </row>
    <row r="85" spans="1:4" ht="15">
      <c r="A85" s="252" t="s">
        <v>882</v>
      </c>
      <c r="B85" s="560"/>
      <c r="C85" s="560">
        <v>22050</v>
      </c>
      <c r="D85" s="381">
        <v>22050</v>
      </c>
    </row>
    <row r="86" spans="1:4" ht="14.25">
      <c r="A86" s="96" t="s">
        <v>883</v>
      </c>
      <c r="B86" s="560"/>
      <c r="C86" s="560">
        <f>C87+C92</f>
        <v>0</v>
      </c>
      <c r="D86" s="381">
        <f>D87+D92</f>
        <v>0</v>
      </c>
    </row>
    <row r="87" spans="1:4" ht="14.25">
      <c r="A87" s="96" t="s">
        <v>949</v>
      </c>
      <c r="B87" s="560"/>
      <c r="C87" s="560"/>
      <c r="D87" s="381"/>
    </row>
    <row r="88" spans="1:4" ht="14.25">
      <c r="A88" s="96" t="s">
        <v>955</v>
      </c>
      <c r="B88" s="560"/>
      <c r="C88" s="560"/>
      <c r="D88" s="381"/>
    </row>
    <row r="89" spans="1:4" ht="14.25">
      <c r="A89" s="96" t="s">
        <v>956</v>
      </c>
      <c r="B89" s="560"/>
      <c r="C89" s="560"/>
      <c r="D89" s="381"/>
    </row>
    <row r="90" spans="1:4" ht="14.25">
      <c r="A90" s="96" t="s">
        <v>957</v>
      </c>
      <c r="B90" s="560"/>
      <c r="C90" s="560"/>
      <c r="D90" s="381"/>
    </row>
    <row r="91" spans="1:4" ht="14.25">
      <c r="A91" s="96" t="s">
        <v>721</v>
      </c>
      <c r="B91" s="560"/>
      <c r="C91" s="560"/>
      <c r="D91" s="381"/>
    </row>
    <row r="92" spans="1:4" ht="14.25">
      <c r="A92" s="96" t="s">
        <v>950</v>
      </c>
      <c r="B92" s="560"/>
      <c r="C92" s="560"/>
      <c r="D92" s="381"/>
    </row>
    <row r="93" spans="1:4" ht="14.25">
      <c r="A93" s="96" t="s">
        <v>958</v>
      </c>
      <c r="B93" s="560"/>
      <c r="C93" s="560"/>
      <c r="D93" s="381"/>
    </row>
    <row r="94" spans="1:4" ht="15">
      <c r="A94" s="252" t="s">
        <v>884</v>
      </c>
      <c r="B94" s="561"/>
      <c r="C94" s="561">
        <f>C85+C86</f>
        <v>22050</v>
      </c>
      <c r="D94" s="380">
        <f>D85+D86</f>
        <v>22050</v>
      </c>
    </row>
    <row r="95" spans="1:4" ht="15">
      <c r="A95" s="252" t="s">
        <v>885</v>
      </c>
      <c r="B95" s="560"/>
      <c r="C95" s="560"/>
      <c r="D95" s="381"/>
    </row>
    <row r="96" spans="1:4" ht="14.25">
      <c r="A96" s="96" t="s">
        <v>886</v>
      </c>
      <c r="B96" s="560"/>
      <c r="C96" s="560">
        <f>C97-C98</f>
        <v>0</v>
      </c>
      <c r="D96" s="381">
        <f>D97-D98</f>
        <v>0</v>
      </c>
    </row>
    <row r="97" spans="1:4" ht="14.25">
      <c r="A97" s="96" t="s">
        <v>949</v>
      </c>
      <c r="B97" s="560"/>
      <c r="C97" s="560"/>
      <c r="D97" s="381"/>
    </row>
    <row r="98" spans="1:4" ht="14.25">
      <c r="A98" s="96" t="s">
        <v>950</v>
      </c>
      <c r="B98" s="560"/>
      <c r="C98" s="560">
        <f>C99</f>
        <v>0</v>
      </c>
      <c r="D98" s="381">
        <f>D99</f>
        <v>0</v>
      </c>
    </row>
    <row r="99" spans="1:4" ht="14.25">
      <c r="A99" s="96" t="s">
        <v>249</v>
      </c>
      <c r="B99" s="560"/>
      <c r="C99" s="560"/>
      <c r="D99" s="381"/>
    </row>
    <row r="100" spans="1:4" ht="15">
      <c r="A100" s="252" t="s">
        <v>887</v>
      </c>
      <c r="B100" s="561"/>
      <c r="C100" s="561">
        <f>C95+C96</f>
        <v>0</v>
      </c>
      <c r="D100" s="380">
        <f>D95+D96</f>
        <v>0</v>
      </c>
    </row>
    <row r="101" spans="1:4" ht="15">
      <c r="A101" s="252" t="s">
        <v>888</v>
      </c>
      <c r="B101" s="560"/>
      <c r="C101" s="560"/>
      <c r="D101" s="381"/>
    </row>
    <row r="102" spans="1:4" ht="14.25">
      <c r="A102" s="96" t="s">
        <v>889</v>
      </c>
      <c r="B102" s="560"/>
      <c r="C102" s="560">
        <f>C103-C104</f>
        <v>0</v>
      </c>
      <c r="D102" s="381">
        <f>D103-D104</f>
        <v>0</v>
      </c>
    </row>
    <row r="103" spans="1:4" ht="14.25">
      <c r="A103" s="96" t="s">
        <v>949</v>
      </c>
      <c r="B103" s="560"/>
      <c r="C103" s="560"/>
      <c r="D103" s="381"/>
    </row>
    <row r="104" spans="1:4" ht="14.25">
      <c r="A104" s="96" t="s">
        <v>950</v>
      </c>
      <c r="B104" s="560"/>
      <c r="C104" s="560"/>
      <c r="D104" s="381"/>
    </row>
    <row r="105" spans="1:4" ht="15">
      <c r="A105" s="252" t="s">
        <v>890</v>
      </c>
      <c r="B105" s="561"/>
      <c r="C105" s="561">
        <f>C101+C102</f>
        <v>0</v>
      </c>
      <c r="D105" s="380">
        <f>D101+D102</f>
        <v>0</v>
      </c>
    </row>
    <row r="106" spans="1:4" ht="15">
      <c r="A106" s="252" t="s">
        <v>891</v>
      </c>
      <c r="B106" s="560"/>
      <c r="C106" s="560">
        <v>-11065</v>
      </c>
      <c r="D106" s="381">
        <f>D107+D116</f>
        <v>-4137</v>
      </c>
    </row>
    <row r="107" spans="1:4" ht="15">
      <c r="A107" s="252" t="s">
        <v>892</v>
      </c>
      <c r="B107" s="560"/>
      <c r="C107" s="560">
        <v>0</v>
      </c>
      <c r="D107" s="381">
        <v>0</v>
      </c>
    </row>
    <row r="108" spans="1:4" ht="14.25">
      <c r="A108" s="96" t="s">
        <v>948</v>
      </c>
      <c r="B108" s="560"/>
      <c r="C108" s="560"/>
      <c r="D108" s="381"/>
    </row>
    <row r="109" spans="1:4" ht="14.25">
      <c r="A109" s="96" t="s">
        <v>203</v>
      </c>
      <c r="B109" s="560"/>
      <c r="C109" s="560">
        <v>0</v>
      </c>
      <c r="D109" s="381">
        <v>0</v>
      </c>
    </row>
    <row r="110" spans="1:4" ht="28.5">
      <c r="A110" s="96" t="s">
        <v>893</v>
      </c>
      <c r="B110" s="560"/>
      <c r="C110" s="560">
        <f>C107+C109</f>
        <v>0</v>
      </c>
      <c r="D110" s="381">
        <f>D107+D109</f>
        <v>0</v>
      </c>
    </row>
    <row r="111" spans="1:4" ht="14.25">
      <c r="A111" s="96" t="s">
        <v>949</v>
      </c>
      <c r="B111" s="560"/>
      <c r="C111" s="560"/>
      <c r="D111" s="381"/>
    </row>
    <row r="112" spans="1:4" ht="14.25">
      <c r="A112" s="96" t="s">
        <v>250</v>
      </c>
      <c r="B112" s="560"/>
      <c r="C112" s="560"/>
      <c r="D112" s="381"/>
    </row>
    <row r="113" spans="1:4" ht="14.25">
      <c r="A113" s="96" t="s">
        <v>950</v>
      </c>
      <c r="B113" s="560"/>
      <c r="C113" s="560">
        <f>C114</f>
        <v>0</v>
      </c>
      <c r="D113" s="381">
        <f>D114</f>
        <v>0</v>
      </c>
    </row>
    <row r="114" spans="1:4" ht="14.25">
      <c r="A114" s="96" t="s">
        <v>722</v>
      </c>
      <c r="B114" s="560"/>
      <c r="C114" s="560"/>
      <c r="D114" s="381"/>
    </row>
    <row r="115" spans="1:4" ht="15">
      <c r="A115" s="252" t="s">
        <v>894</v>
      </c>
      <c r="B115" s="561"/>
      <c r="C115" s="561">
        <f>C110+C111-C113</f>
        <v>0</v>
      </c>
      <c r="D115" s="380">
        <f>D110+D111-D113</f>
        <v>0</v>
      </c>
    </row>
    <row r="116" spans="1:4" ht="15">
      <c r="A116" s="252" t="s">
        <v>895</v>
      </c>
      <c r="B116" s="560"/>
      <c r="C116" s="560">
        <v>-11065</v>
      </c>
      <c r="D116" s="381">
        <v>-4137</v>
      </c>
    </row>
    <row r="117" spans="1:4" ht="14.25">
      <c r="A117" s="96" t="s">
        <v>948</v>
      </c>
      <c r="B117" s="560"/>
      <c r="C117" s="560">
        <v>-1224</v>
      </c>
      <c r="D117" s="381">
        <v>-1035</v>
      </c>
    </row>
    <row r="118" spans="1:4" ht="14.25">
      <c r="A118" s="96" t="s">
        <v>203</v>
      </c>
      <c r="B118" s="560"/>
      <c r="C118" s="560"/>
      <c r="D118" s="381">
        <v>-191</v>
      </c>
    </row>
    <row r="119" spans="1:4" ht="28.5">
      <c r="A119" s="96" t="s">
        <v>896</v>
      </c>
      <c r="B119" s="560"/>
      <c r="C119" s="560">
        <f>SUM(C116:C118)</f>
        <v>-12289</v>
      </c>
      <c r="D119" s="381">
        <f>SUM(D116:D118)</f>
        <v>-5363</v>
      </c>
    </row>
    <row r="120" spans="1:4" ht="14.25">
      <c r="A120" s="96" t="s">
        <v>949</v>
      </c>
      <c r="B120" s="560"/>
      <c r="C120" s="560">
        <f>C121</f>
        <v>-8294</v>
      </c>
      <c r="D120" s="381">
        <f>D121</f>
        <v>-5702</v>
      </c>
    </row>
    <row r="121" spans="1:4" ht="14.25">
      <c r="A121" s="96" t="s">
        <v>251</v>
      </c>
      <c r="B121" s="560"/>
      <c r="C121" s="560">
        <v>-8294</v>
      </c>
      <c r="D121" s="381">
        <v>-5702</v>
      </c>
    </row>
    <row r="122" spans="1:4" ht="14.25">
      <c r="A122" s="96" t="s">
        <v>950</v>
      </c>
      <c r="B122" s="560"/>
      <c r="C122" s="560"/>
      <c r="D122" s="381"/>
    </row>
    <row r="123" spans="1:4" ht="15">
      <c r="A123" s="252" t="s">
        <v>897</v>
      </c>
      <c r="B123" s="561"/>
      <c r="C123" s="561">
        <f>C119+C120</f>
        <v>-20583</v>
      </c>
      <c r="D123" s="380">
        <f>D119+D120</f>
        <v>-11065</v>
      </c>
    </row>
    <row r="124" spans="1:4" ht="15">
      <c r="A124" s="252" t="s">
        <v>898</v>
      </c>
      <c r="B124" s="560"/>
      <c r="C124" s="560">
        <f>C115+C123</f>
        <v>-20583</v>
      </c>
      <c r="D124" s="381">
        <f>D115+D123</f>
        <v>-11065</v>
      </c>
    </row>
    <row r="125" spans="1:4" ht="15">
      <c r="A125" s="252" t="s">
        <v>951</v>
      </c>
      <c r="B125" s="560"/>
      <c r="C125" s="560">
        <f>C126-C127</f>
        <v>-16328</v>
      </c>
      <c r="D125" s="381">
        <f>D126-D127</f>
        <v>-8294</v>
      </c>
    </row>
    <row r="126" spans="1:4" ht="14.25">
      <c r="A126" s="96" t="s">
        <v>952</v>
      </c>
      <c r="B126" s="560"/>
      <c r="C126" s="560"/>
      <c r="D126" s="381"/>
    </row>
    <row r="127" spans="1:4" ht="14.25">
      <c r="A127" s="96" t="s">
        <v>953</v>
      </c>
      <c r="B127" s="560"/>
      <c r="C127" s="560">
        <v>16328</v>
      </c>
      <c r="D127" s="381">
        <v>8294</v>
      </c>
    </row>
    <row r="128" spans="1:4" ht="14.25">
      <c r="A128" s="96" t="s">
        <v>244</v>
      </c>
      <c r="B128" s="560"/>
      <c r="C128" s="560"/>
      <c r="D128" s="381"/>
    </row>
    <row r="129" spans="1:4" ht="15">
      <c r="A129" s="252" t="s">
        <v>245</v>
      </c>
      <c r="B129" s="561"/>
      <c r="C129" s="561">
        <f>C74+C79+C84+C94+C100+C105+C124+C125</f>
        <v>22939</v>
      </c>
      <c r="D129" s="380">
        <f>D74+D79+D84+D94+D100+D105+D124+D125</f>
        <v>40491</v>
      </c>
    </row>
    <row r="130" spans="1:4" ht="29.25" thickBot="1">
      <c r="A130" s="257" t="s">
        <v>246</v>
      </c>
      <c r="B130" s="562"/>
      <c r="C130" s="562"/>
      <c r="D130" s="430"/>
    </row>
    <row r="131" spans="1:4" ht="14.25">
      <c r="A131" s="384"/>
      <c r="B131" s="385"/>
      <c r="C131" s="386"/>
      <c r="D131" s="386"/>
    </row>
    <row r="132" spans="1:4" ht="15">
      <c r="A132" s="406" t="s">
        <v>991</v>
      </c>
      <c r="B132" s="385"/>
      <c r="C132" s="386"/>
      <c r="D132" s="386"/>
    </row>
    <row r="133" spans="1:4" ht="15.75" thickBot="1">
      <c r="A133" s="359"/>
      <c r="B133" s="385"/>
      <c r="C133" s="387"/>
      <c r="D133" s="387"/>
    </row>
    <row r="134" spans="1:4" s="448" customFormat="1" ht="15">
      <c r="A134" s="442"/>
      <c r="B134" s="447"/>
      <c r="C134" s="443">
        <v>2002</v>
      </c>
      <c r="D134" s="444">
        <v>2001</v>
      </c>
    </row>
    <row r="135" spans="1:4" ht="15">
      <c r="A135" s="256" t="s">
        <v>252</v>
      </c>
      <c r="B135" s="388"/>
      <c r="C135" s="389"/>
      <c r="D135" s="390"/>
    </row>
    <row r="136" spans="1:4" ht="15">
      <c r="A136" s="252" t="s">
        <v>255</v>
      </c>
      <c r="B136" s="391"/>
      <c r="C136" s="363"/>
      <c r="D136" s="364"/>
    </row>
    <row r="137" spans="1:4" ht="15">
      <c r="A137" s="252" t="s">
        <v>959</v>
      </c>
      <c r="B137" s="391"/>
      <c r="C137" s="361">
        <f>C53</f>
        <v>-16328</v>
      </c>
      <c r="D137" s="362">
        <f>D53</f>
        <v>-8294</v>
      </c>
    </row>
    <row r="138" spans="1:4" ht="15">
      <c r="A138" s="252" t="s">
        <v>960</v>
      </c>
      <c r="B138" s="391"/>
      <c r="C138" s="361">
        <f>SUM(C139:C150)</f>
        <v>8072</v>
      </c>
      <c r="D138" s="362">
        <f>SUM(D139:D150)</f>
        <v>10580</v>
      </c>
    </row>
    <row r="139" spans="1:4" ht="15">
      <c r="A139" s="96" t="s">
        <v>649</v>
      </c>
      <c r="B139" s="391"/>
      <c r="C139" s="361">
        <f>C52</f>
        <v>-1392</v>
      </c>
      <c r="D139" s="362">
        <f>D52</f>
        <v>-3926</v>
      </c>
    </row>
    <row r="140" spans="1:4" ht="28.5">
      <c r="A140" s="96" t="s">
        <v>650</v>
      </c>
      <c r="B140" s="391"/>
      <c r="C140" s="363"/>
      <c r="D140" s="364"/>
    </row>
    <row r="141" spans="1:4" ht="14.25">
      <c r="A141" s="96" t="s">
        <v>651</v>
      </c>
      <c r="B141" s="391"/>
      <c r="C141" s="363">
        <v>2169</v>
      </c>
      <c r="D141" s="364">
        <v>6144</v>
      </c>
    </row>
    <row r="142" spans="1:4" ht="14.25">
      <c r="A142" s="96" t="s">
        <v>1201</v>
      </c>
      <c r="B142" s="391"/>
      <c r="C142" s="363">
        <v>-51</v>
      </c>
      <c r="D142" s="364"/>
    </row>
    <row r="143" spans="1:4" ht="14.25">
      <c r="A143" s="96" t="s">
        <v>1202</v>
      </c>
      <c r="B143" s="391"/>
      <c r="C143" s="363">
        <v>-1196</v>
      </c>
      <c r="D143" s="364">
        <v>-608</v>
      </c>
    </row>
    <row r="144" spans="1:4" ht="14.25">
      <c r="A144" s="96" t="s">
        <v>1203</v>
      </c>
      <c r="B144" s="392"/>
      <c r="C144" s="363">
        <v>5618</v>
      </c>
      <c r="D144" s="364">
        <v>1907</v>
      </c>
    </row>
    <row r="145" spans="1:4" ht="14.25">
      <c r="A145" s="96" t="s">
        <v>1204</v>
      </c>
      <c r="B145" s="391"/>
      <c r="C145" s="363">
        <v>-502</v>
      </c>
      <c r="D145" s="364">
        <v>1669</v>
      </c>
    </row>
    <row r="146" spans="1:4" ht="14.25">
      <c r="A146" s="96" t="s">
        <v>1205</v>
      </c>
      <c r="B146" s="391"/>
      <c r="C146" s="363">
        <v>274</v>
      </c>
      <c r="D146" s="364">
        <v>14</v>
      </c>
    </row>
    <row r="147" spans="1:4" ht="14.25">
      <c r="A147" s="96" t="s">
        <v>1206</v>
      </c>
      <c r="B147" s="391"/>
      <c r="C147" s="363">
        <v>16266</v>
      </c>
      <c r="D147" s="364">
        <v>-2544</v>
      </c>
    </row>
    <row r="148" spans="1:4" ht="28.5">
      <c r="A148" s="96" t="s">
        <v>1207</v>
      </c>
      <c r="B148" s="391"/>
      <c r="C148" s="363">
        <v>-14897</v>
      </c>
      <c r="D148" s="364">
        <v>17187</v>
      </c>
    </row>
    <row r="149" spans="1:4" s="274" customFormat="1" ht="14.25">
      <c r="A149" s="96" t="s">
        <v>1208</v>
      </c>
      <c r="B149" s="391"/>
      <c r="C149" s="363">
        <v>-1912</v>
      </c>
      <c r="D149" s="364">
        <v>-1142</v>
      </c>
    </row>
    <row r="150" spans="1:4" ht="14.25">
      <c r="A150" s="96" t="s">
        <v>1209</v>
      </c>
      <c r="B150" s="391"/>
      <c r="C150" s="363">
        <v>3695</v>
      </c>
      <c r="D150" s="364">
        <v>-8121</v>
      </c>
    </row>
    <row r="151" spans="1:4" ht="15">
      <c r="A151" s="252" t="s">
        <v>1148</v>
      </c>
      <c r="B151" s="391"/>
      <c r="C151" s="361">
        <f>C137+C138</f>
        <v>-8256</v>
      </c>
      <c r="D151" s="362">
        <f>D137+D138</f>
        <v>2286</v>
      </c>
    </row>
    <row r="152" spans="1:4" ht="15">
      <c r="A152" s="256" t="s">
        <v>266</v>
      </c>
      <c r="B152" s="388"/>
      <c r="C152" s="389"/>
      <c r="D152" s="390"/>
    </row>
    <row r="153" spans="1:4" ht="15">
      <c r="A153" s="252" t="s">
        <v>253</v>
      </c>
      <c r="B153" s="391"/>
      <c r="C153" s="361">
        <f>SUM(C154:C156)+C169</f>
        <v>15424</v>
      </c>
      <c r="D153" s="362">
        <f>SUM(D154:D156)+D169</f>
        <v>50574</v>
      </c>
    </row>
    <row r="154" spans="1:4" ht="28.5">
      <c r="A154" s="96" t="s">
        <v>267</v>
      </c>
      <c r="B154" s="391"/>
      <c r="C154" s="363">
        <v>170</v>
      </c>
      <c r="D154" s="364">
        <v>191</v>
      </c>
    </row>
    <row r="155" spans="1:4" ht="14.25">
      <c r="A155" s="96" t="s">
        <v>268</v>
      </c>
      <c r="B155" s="391"/>
      <c r="C155" s="363"/>
      <c r="D155" s="364"/>
    </row>
    <row r="156" spans="1:4" ht="14.25">
      <c r="A156" s="96" t="s">
        <v>269</v>
      </c>
      <c r="B156" s="391"/>
      <c r="C156" s="363">
        <f>C157+C163</f>
        <v>7848</v>
      </c>
      <c r="D156" s="364">
        <f>D157+D163</f>
        <v>50383</v>
      </c>
    </row>
    <row r="157" spans="1:4" ht="14.25">
      <c r="A157" s="96" t="s">
        <v>118</v>
      </c>
      <c r="B157" s="391"/>
      <c r="C157" s="363">
        <f>SUM(C158:C162)</f>
        <v>1721</v>
      </c>
      <c r="D157" s="364">
        <f>SUM(D158:D162)</f>
        <v>6151</v>
      </c>
    </row>
    <row r="158" spans="1:4" ht="14.25">
      <c r="A158" s="96" t="s">
        <v>276</v>
      </c>
      <c r="B158" s="391"/>
      <c r="C158" s="363">
        <v>1541</v>
      </c>
      <c r="D158" s="364">
        <v>5627</v>
      </c>
    </row>
    <row r="159" spans="1:4" ht="14.25">
      <c r="A159" s="96" t="s">
        <v>277</v>
      </c>
      <c r="B159" s="391"/>
      <c r="C159" s="363"/>
      <c r="D159" s="364">
        <v>0</v>
      </c>
    </row>
    <row r="160" spans="1:4" ht="14.25">
      <c r="A160" s="96" t="s">
        <v>278</v>
      </c>
      <c r="B160" s="391"/>
      <c r="C160" s="393">
        <v>794</v>
      </c>
      <c r="D160" s="364">
        <v>0</v>
      </c>
    </row>
    <row r="161" spans="1:4" ht="14.25">
      <c r="A161" s="96" t="s">
        <v>279</v>
      </c>
      <c r="B161" s="391"/>
      <c r="C161" s="363">
        <v>-614</v>
      </c>
      <c r="D161" s="364">
        <v>524</v>
      </c>
    </row>
    <row r="162" spans="1:4" ht="14.25">
      <c r="A162" s="96" t="s">
        <v>280</v>
      </c>
      <c r="B162" s="391"/>
      <c r="C162" s="363"/>
      <c r="D162" s="364"/>
    </row>
    <row r="163" spans="1:4" ht="14.25">
      <c r="A163" s="96" t="s">
        <v>106</v>
      </c>
      <c r="B163" s="391"/>
      <c r="C163" s="363">
        <f>SUM(C164:C168)</f>
        <v>6127</v>
      </c>
      <c r="D163" s="364">
        <f>SUM(D164:D168)</f>
        <v>44232</v>
      </c>
    </row>
    <row r="164" spans="1:4" ht="14.25">
      <c r="A164" s="96" t="s">
        <v>276</v>
      </c>
      <c r="B164" s="391"/>
      <c r="C164" s="363">
        <v>5782</v>
      </c>
      <c r="D164" s="364">
        <v>39512</v>
      </c>
    </row>
    <row r="165" spans="1:4" ht="14.25">
      <c r="A165" s="96" t="s">
        <v>277</v>
      </c>
      <c r="B165" s="391"/>
      <c r="C165" s="363">
        <v>0</v>
      </c>
      <c r="D165" s="364">
        <v>1323</v>
      </c>
    </row>
    <row r="166" spans="1:4" ht="14.25">
      <c r="A166" s="96" t="s">
        <v>278</v>
      </c>
      <c r="B166" s="391"/>
      <c r="C166" s="363">
        <v>46</v>
      </c>
      <c r="D166" s="364">
        <v>1250</v>
      </c>
    </row>
    <row r="167" spans="1:4" ht="14.25">
      <c r="A167" s="96" t="s">
        <v>279</v>
      </c>
      <c r="B167" s="391"/>
      <c r="C167" s="363">
        <v>299</v>
      </c>
      <c r="D167" s="364">
        <v>2147</v>
      </c>
    </row>
    <row r="168" spans="1:4" ht="14.25">
      <c r="A168" s="96" t="s">
        <v>280</v>
      </c>
      <c r="B168" s="391"/>
      <c r="C168" s="363"/>
      <c r="D168" s="364"/>
    </row>
    <row r="169" spans="1:4" ht="14.25">
      <c r="A169" s="96" t="s">
        <v>270</v>
      </c>
      <c r="B169" s="391"/>
      <c r="C169" s="363">
        <v>7406</v>
      </c>
      <c r="D169" s="364"/>
    </row>
    <row r="170" spans="1:4" ht="15">
      <c r="A170" s="252" t="s">
        <v>254</v>
      </c>
      <c r="B170" s="391"/>
      <c r="C170" s="361">
        <f>SUM(C171:C173,C180)</f>
        <v>10285</v>
      </c>
      <c r="D170" s="362">
        <f>SUM(D171:D173,D180)</f>
        <v>68558</v>
      </c>
    </row>
    <row r="171" spans="1:4" ht="28.5">
      <c r="A171" s="96" t="s">
        <v>271</v>
      </c>
      <c r="B171" s="391"/>
      <c r="C171" s="363">
        <v>517</v>
      </c>
      <c r="D171" s="364">
        <v>1399</v>
      </c>
    </row>
    <row r="172" spans="1:4" ht="14.25">
      <c r="A172" s="96" t="s">
        <v>272</v>
      </c>
      <c r="B172" s="391"/>
      <c r="C172" s="363"/>
      <c r="D172" s="364"/>
    </row>
    <row r="173" spans="1:4" ht="14.25">
      <c r="A173" s="96" t="s">
        <v>273</v>
      </c>
      <c r="B173" s="391"/>
      <c r="C173" s="363">
        <f>C174+C177</f>
        <v>8604</v>
      </c>
      <c r="D173" s="364">
        <f>D174+D177</f>
        <v>62409</v>
      </c>
    </row>
    <row r="174" spans="1:4" ht="14.25">
      <c r="A174" s="96" t="s">
        <v>118</v>
      </c>
      <c r="B174" s="391"/>
      <c r="C174" s="363">
        <f>SUM(C175:C176)</f>
        <v>8604</v>
      </c>
      <c r="D174" s="364">
        <f>D175+D176</f>
        <v>17659</v>
      </c>
    </row>
    <row r="175" spans="1:4" ht="14.25">
      <c r="A175" s="96" t="s">
        <v>281</v>
      </c>
      <c r="B175" s="391"/>
      <c r="C175" s="393">
        <v>8604</v>
      </c>
      <c r="D175" s="364">
        <v>17659</v>
      </c>
    </row>
    <row r="176" spans="1:4" ht="14.25">
      <c r="A176" s="96" t="s">
        <v>282</v>
      </c>
      <c r="B176" s="391"/>
      <c r="C176" s="363"/>
      <c r="D176" s="364">
        <v>0</v>
      </c>
    </row>
    <row r="177" spans="1:4" ht="14.25">
      <c r="A177" s="96" t="s">
        <v>106</v>
      </c>
      <c r="B177" s="391"/>
      <c r="C177" s="363">
        <f>C178+C179</f>
        <v>0</v>
      </c>
      <c r="D177" s="364">
        <f>D178+D179</f>
        <v>44750</v>
      </c>
    </row>
    <row r="178" spans="1:4" ht="14.25">
      <c r="A178" s="96" t="s">
        <v>281</v>
      </c>
      <c r="B178" s="391"/>
      <c r="C178" s="363"/>
      <c r="D178" s="364">
        <v>43491</v>
      </c>
    </row>
    <row r="179" spans="1:4" ht="14.25">
      <c r="A179" s="96" t="s">
        <v>282</v>
      </c>
      <c r="B179" s="391"/>
      <c r="C179" s="363"/>
      <c r="D179" s="364">
        <v>1259</v>
      </c>
    </row>
    <row r="180" spans="1:4" ht="14.25">
      <c r="A180" s="96" t="s">
        <v>274</v>
      </c>
      <c r="B180" s="391"/>
      <c r="C180" s="363">
        <v>1164</v>
      </c>
      <c r="D180" s="364">
        <v>4750</v>
      </c>
    </row>
    <row r="181" spans="1:4" ht="15">
      <c r="A181" s="252" t="s">
        <v>275</v>
      </c>
      <c r="B181" s="391"/>
      <c r="C181" s="361">
        <f>C153-C170</f>
        <v>5139</v>
      </c>
      <c r="D181" s="362">
        <f>D153-D170</f>
        <v>-17984</v>
      </c>
    </row>
    <row r="182" spans="1:4" ht="15">
      <c r="A182" s="256" t="s">
        <v>924</v>
      </c>
      <c r="B182" s="388"/>
      <c r="C182" s="389"/>
      <c r="D182" s="390"/>
    </row>
    <row r="183" spans="1:4" ht="15">
      <c r="A183" s="252" t="s">
        <v>253</v>
      </c>
      <c r="B183" s="391"/>
      <c r="C183" s="361">
        <f>SUM(C184:C187)</f>
        <v>380</v>
      </c>
      <c r="D183" s="362">
        <f>SUM(D184:D187)</f>
        <v>27951</v>
      </c>
    </row>
    <row r="184" spans="1:4" ht="28.5">
      <c r="A184" s="96" t="s">
        <v>925</v>
      </c>
      <c r="B184" s="392"/>
      <c r="C184" s="363">
        <v>25</v>
      </c>
      <c r="D184" s="364">
        <v>24200</v>
      </c>
    </row>
    <row r="185" spans="1:4" ht="14.25">
      <c r="A185" s="96" t="s">
        <v>926</v>
      </c>
      <c r="B185" s="392"/>
      <c r="C185" s="363"/>
      <c r="D185" s="364">
        <v>3751</v>
      </c>
    </row>
    <row r="186" spans="1:4" ht="14.25">
      <c r="A186" s="96" t="s">
        <v>927</v>
      </c>
      <c r="B186" s="391"/>
      <c r="C186" s="363"/>
      <c r="D186" s="364"/>
    </row>
    <row r="187" spans="1:4" ht="14.25">
      <c r="A187" s="96" t="s">
        <v>928</v>
      </c>
      <c r="B187" s="391"/>
      <c r="C187" s="363">
        <v>355</v>
      </c>
      <c r="D187" s="364"/>
    </row>
    <row r="188" spans="1:4" ht="15">
      <c r="A188" s="252" t="s">
        <v>254</v>
      </c>
      <c r="B188" s="391"/>
      <c r="C188" s="361">
        <f>SUM(C189:C197)</f>
        <v>4398</v>
      </c>
      <c r="D188" s="362">
        <f>SUM(D189:D197)</f>
        <v>4292</v>
      </c>
    </row>
    <row r="189" spans="1:4" ht="14.25">
      <c r="A189" s="96" t="s">
        <v>929</v>
      </c>
      <c r="B189" s="391"/>
      <c r="C189" s="363"/>
      <c r="D189" s="364"/>
    </row>
    <row r="190" spans="1:4" ht="14.25">
      <c r="A190" s="96" t="s">
        <v>930</v>
      </c>
      <c r="B190" s="391"/>
      <c r="C190" s="363"/>
      <c r="D190" s="364">
        <v>1380</v>
      </c>
    </row>
    <row r="191" spans="1:4" ht="14.25">
      <c r="A191" s="96" t="s">
        <v>931</v>
      </c>
      <c r="B191" s="391"/>
      <c r="C191" s="363"/>
      <c r="D191" s="364"/>
    </row>
    <row r="192" spans="1:4" ht="14.25">
      <c r="A192" s="96" t="s">
        <v>932</v>
      </c>
      <c r="B192" s="391"/>
      <c r="C192" s="363">
        <v>2340</v>
      </c>
      <c r="D192" s="364">
        <v>515</v>
      </c>
    </row>
    <row r="193" spans="1:4" ht="14.25">
      <c r="A193" s="96" t="s">
        <v>933</v>
      </c>
      <c r="B193" s="391"/>
      <c r="C193" s="363"/>
      <c r="D193" s="364"/>
    </row>
    <row r="194" spans="1:4" ht="14.25">
      <c r="A194" s="96" t="s">
        <v>934</v>
      </c>
      <c r="B194" s="391"/>
      <c r="C194" s="363"/>
      <c r="D194" s="364"/>
    </row>
    <row r="195" spans="1:4" ht="14.25">
      <c r="A195" s="96" t="s">
        <v>935</v>
      </c>
      <c r="B195" s="391"/>
      <c r="C195" s="363">
        <v>149</v>
      </c>
      <c r="D195" s="364">
        <v>1484</v>
      </c>
    </row>
    <row r="196" spans="1:4" ht="14.25">
      <c r="A196" s="96" t="s">
        <v>936</v>
      </c>
      <c r="B196" s="391"/>
      <c r="C196" s="363">
        <v>787</v>
      </c>
      <c r="D196" s="364">
        <v>913</v>
      </c>
    </row>
    <row r="197" spans="1:4" ht="14.25">
      <c r="A197" s="96" t="s">
        <v>937</v>
      </c>
      <c r="B197" s="391"/>
      <c r="C197" s="363">
        <v>1122</v>
      </c>
      <c r="D197" s="364"/>
    </row>
    <row r="198" spans="1:4" ht="15">
      <c r="A198" s="252" t="s">
        <v>938</v>
      </c>
      <c r="B198" s="391"/>
      <c r="C198" s="363">
        <f>C183-C188</f>
        <v>-4018</v>
      </c>
      <c r="D198" s="364">
        <f>D183-D188</f>
        <v>23659</v>
      </c>
    </row>
    <row r="199" spans="1:4" ht="15">
      <c r="A199" s="252" t="s">
        <v>939</v>
      </c>
      <c r="B199" s="391"/>
      <c r="C199" s="363">
        <f>C151+C181+C198</f>
        <v>-7135</v>
      </c>
      <c r="D199" s="364">
        <f>D151+D181+D198</f>
        <v>7961</v>
      </c>
    </row>
    <row r="200" spans="1:4" ht="15">
      <c r="A200" s="252" t="s">
        <v>940</v>
      </c>
      <c r="B200" s="391"/>
      <c r="C200" s="363">
        <f>C203-C202</f>
        <v>-7135</v>
      </c>
      <c r="D200" s="364">
        <f>D203-D202</f>
        <v>7961</v>
      </c>
    </row>
    <row r="201" spans="1:4" ht="14.25">
      <c r="A201" s="96" t="s">
        <v>943</v>
      </c>
      <c r="B201" s="391"/>
      <c r="C201" s="363"/>
      <c r="D201" s="364"/>
    </row>
    <row r="202" spans="1:4" ht="15">
      <c r="A202" s="252" t="s">
        <v>941</v>
      </c>
      <c r="B202" s="391"/>
      <c r="C202" s="363">
        <v>13797</v>
      </c>
      <c r="D202" s="364">
        <v>2985</v>
      </c>
    </row>
    <row r="203" spans="1:4" ht="15">
      <c r="A203" s="252" t="s">
        <v>942</v>
      </c>
      <c r="B203" s="391"/>
      <c r="C203" s="361">
        <f>C199+C202</f>
        <v>6662</v>
      </c>
      <c r="D203" s="362">
        <f>D199+D202</f>
        <v>10946</v>
      </c>
    </row>
    <row r="204" spans="1:4" ht="15" thickBot="1">
      <c r="A204" s="257" t="s">
        <v>944</v>
      </c>
      <c r="B204" s="394"/>
      <c r="C204" s="395"/>
      <c r="D204" s="396"/>
    </row>
    <row r="205" spans="1:4" ht="14.25">
      <c r="A205" s="384"/>
      <c r="B205" s="385"/>
      <c r="C205" s="386"/>
      <c r="D205" s="386"/>
    </row>
    <row r="206" spans="1:4" ht="15">
      <c r="A206" s="213" t="s">
        <v>1149</v>
      </c>
      <c r="B206" s="385"/>
      <c r="C206" s="386"/>
      <c r="D206" s="386"/>
    </row>
    <row r="207" spans="1:4" ht="15">
      <c r="A207" s="262" t="s">
        <v>1150</v>
      </c>
      <c r="B207" s="385"/>
      <c r="C207" s="386"/>
      <c r="D207" s="386"/>
    </row>
    <row r="208" spans="1:4" ht="14.25">
      <c r="A208" s="384"/>
      <c r="B208" s="385"/>
      <c r="C208" s="386"/>
      <c r="D208" s="386"/>
    </row>
    <row r="209" spans="1:4" ht="15.75" thickBot="1">
      <c r="A209" s="213" t="s">
        <v>961</v>
      </c>
      <c r="B209" s="376"/>
      <c r="C209" s="376"/>
      <c r="D209" s="626"/>
    </row>
    <row r="210" spans="1:4" s="448" customFormat="1" ht="15">
      <c r="A210" s="442" t="s">
        <v>313</v>
      </c>
      <c r="B210" s="567"/>
      <c r="C210" s="443">
        <v>2002</v>
      </c>
      <c r="D210" s="444">
        <v>2001</v>
      </c>
    </row>
    <row r="211" spans="1:4" ht="14.25">
      <c r="A211" s="96" t="s">
        <v>945</v>
      </c>
      <c r="B211" s="568"/>
      <c r="C211" s="363"/>
      <c r="D211" s="364"/>
    </row>
    <row r="212" spans="1:4" ht="14.25">
      <c r="A212" s="96" t="s">
        <v>946</v>
      </c>
      <c r="B212" s="568"/>
      <c r="C212" s="363"/>
      <c r="D212" s="364"/>
    </row>
    <row r="213" spans="1:4" ht="14.25">
      <c r="A213" s="96" t="s">
        <v>308</v>
      </c>
      <c r="B213" s="568"/>
      <c r="C213" s="363">
        <f>4+118</f>
        <v>122</v>
      </c>
      <c r="D213" s="364">
        <f>D214</f>
        <v>173</v>
      </c>
    </row>
    <row r="214" spans="1:4" ht="14.25">
      <c r="A214" s="96" t="s">
        <v>312</v>
      </c>
      <c r="B214" s="568"/>
      <c r="C214" s="363">
        <f>4+118</f>
        <v>122</v>
      </c>
      <c r="D214" s="364">
        <v>173</v>
      </c>
    </row>
    <row r="215" spans="1:6" ht="14.25">
      <c r="A215" s="96" t="s">
        <v>309</v>
      </c>
      <c r="B215" s="568"/>
      <c r="C215" s="363">
        <f>29+2+88</f>
        <v>119</v>
      </c>
      <c r="D215" s="364">
        <f>46+164</f>
        <v>210</v>
      </c>
      <c r="E215">
        <f>2844-2006-428</f>
        <v>410</v>
      </c>
      <c r="F215" s="462" t="s">
        <v>664</v>
      </c>
    </row>
    <row r="216" spans="1:4" ht="14.25">
      <c r="A216" s="96" t="s">
        <v>310</v>
      </c>
      <c r="B216" s="568"/>
      <c r="C216" s="363"/>
      <c r="D216" s="364"/>
    </row>
    <row r="217" spans="1:4" ht="15.75" thickBot="1">
      <c r="A217" s="255" t="s">
        <v>311</v>
      </c>
      <c r="B217" s="569"/>
      <c r="C217" s="398">
        <f>SUM(C214:C215)</f>
        <v>241</v>
      </c>
      <c r="D217" s="399">
        <f>SUM(D211:D216)-D214</f>
        <v>383</v>
      </c>
    </row>
    <row r="218" spans="1:4" ht="14.25">
      <c r="A218" s="384"/>
      <c r="B218" s="487"/>
      <c r="C218" s="682"/>
      <c r="D218" s="682"/>
    </row>
    <row r="219" spans="1:4" ht="14.25">
      <c r="A219" s="384"/>
      <c r="B219" s="385"/>
      <c r="C219" s="683"/>
      <c r="D219" s="683"/>
    </row>
    <row r="220" spans="1:4" ht="15.75" thickBot="1">
      <c r="A220" s="213" t="s">
        <v>325</v>
      </c>
      <c r="B220" s="386"/>
      <c r="C220" s="683"/>
      <c r="D220" s="414"/>
    </row>
    <row r="221" spans="1:4" s="448" customFormat="1" ht="30">
      <c r="A221" s="442" t="s">
        <v>324</v>
      </c>
      <c r="B221" s="567"/>
      <c r="C221" s="446">
        <v>2002</v>
      </c>
      <c r="D221" s="444">
        <v>2001</v>
      </c>
    </row>
    <row r="222" spans="1:4" ht="14.25">
      <c r="A222" s="96" t="s">
        <v>395</v>
      </c>
      <c r="B222" s="560"/>
      <c r="C222" s="377">
        <f>C217</f>
        <v>241</v>
      </c>
      <c r="D222" s="381">
        <f>D217</f>
        <v>383</v>
      </c>
    </row>
    <row r="223" spans="1:4" ht="28.5">
      <c r="A223" s="96" t="s">
        <v>977</v>
      </c>
      <c r="B223" s="570"/>
      <c r="C223" s="401"/>
      <c r="D223" s="402"/>
    </row>
    <row r="224" spans="1:4" s="274" customFormat="1" ht="14.25">
      <c r="A224" s="96" t="s">
        <v>954</v>
      </c>
      <c r="B224" s="560"/>
      <c r="C224" s="377"/>
      <c r="D224" s="381"/>
    </row>
    <row r="225" spans="1:4" ht="15.75" thickBot="1">
      <c r="A225" s="255" t="s">
        <v>311</v>
      </c>
      <c r="B225" s="571"/>
      <c r="C225" s="403">
        <f>C222+C223</f>
        <v>241</v>
      </c>
      <c r="D225" s="404">
        <f>D222+D223</f>
        <v>383</v>
      </c>
    </row>
    <row r="226" spans="1:4" ht="14.25">
      <c r="A226" s="384"/>
      <c r="B226" s="487"/>
      <c r="C226" s="682"/>
      <c r="D226" s="682"/>
    </row>
    <row r="227" spans="1:4" ht="15.75" thickBot="1">
      <c r="A227" s="213" t="s">
        <v>399</v>
      </c>
      <c r="B227" s="376"/>
      <c r="C227" s="376"/>
      <c r="D227" s="376"/>
    </row>
    <row r="228" spans="1:4" s="448" customFormat="1" ht="15">
      <c r="A228" s="442" t="s">
        <v>296</v>
      </c>
      <c r="B228" s="567"/>
      <c r="C228" s="446">
        <v>2002</v>
      </c>
      <c r="D228" s="444">
        <v>2001</v>
      </c>
    </row>
    <row r="229" spans="1:4" ht="14.25">
      <c r="A229" s="96" t="s">
        <v>979</v>
      </c>
      <c r="B229" s="568"/>
      <c r="C229" s="363">
        <f>SUM(C230:C234)</f>
        <v>1882</v>
      </c>
      <c r="D229" s="364">
        <f>SUM(D230:D234)</f>
        <v>1941</v>
      </c>
    </row>
    <row r="230" spans="1:4" ht="14.25">
      <c r="A230" s="96" t="s">
        <v>984</v>
      </c>
      <c r="B230" s="568"/>
      <c r="C230" s="363"/>
      <c r="D230" s="378"/>
    </row>
    <row r="231" spans="1:4" ht="14.25">
      <c r="A231" s="96" t="s">
        <v>983</v>
      </c>
      <c r="B231" s="568"/>
      <c r="C231" s="363">
        <f>17+17+491</f>
        <v>525</v>
      </c>
      <c r="D231" s="378">
        <f>17+504</f>
        <v>521</v>
      </c>
    </row>
    <row r="232" spans="1:4" ht="14.25">
      <c r="A232" s="96" t="s">
        <v>971</v>
      </c>
      <c r="B232" s="568"/>
      <c r="C232" s="363">
        <f>2+51+38+561</f>
        <v>652</v>
      </c>
      <c r="D232" s="378">
        <f>5+927</f>
        <v>932</v>
      </c>
    </row>
    <row r="233" spans="1:4" ht="14.25">
      <c r="A233" s="96" t="s">
        <v>972</v>
      </c>
      <c r="B233" s="568"/>
      <c r="C233" s="363">
        <f>80+109+482</f>
        <v>671</v>
      </c>
      <c r="D233" s="378">
        <f>470</f>
        <v>470</v>
      </c>
    </row>
    <row r="234" spans="1:4" ht="14.25">
      <c r="A234" s="96" t="s">
        <v>985</v>
      </c>
      <c r="B234" s="568"/>
      <c r="C234" s="363">
        <f>13+7+14</f>
        <v>34</v>
      </c>
      <c r="D234" s="378">
        <f>14+4</f>
        <v>18</v>
      </c>
    </row>
    <row r="235" spans="1:4" s="274" customFormat="1" ht="14.25">
      <c r="A235" s="96" t="s">
        <v>980</v>
      </c>
      <c r="B235" s="568"/>
      <c r="C235" s="363">
        <v>1</v>
      </c>
      <c r="D235" s="378">
        <f>0+96</f>
        <v>96</v>
      </c>
    </row>
    <row r="236" spans="1:4" ht="14.25">
      <c r="A236" s="96" t="s">
        <v>981</v>
      </c>
      <c r="B236" s="568"/>
      <c r="C236" s="363">
        <v>3</v>
      </c>
      <c r="D236" s="378"/>
    </row>
    <row r="237" spans="1:4" ht="15.75" thickBot="1">
      <c r="A237" s="255" t="s">
        <v>982</v>
      </c>
      <c r="B237" s="569"/>
      <c r="C237" s="398">
        <f>C229+C235+C236</f>
        <v>1886</v>
      </c>
      <c r="D237" s="399">
        <f>D229+D235+D236</f>
        <v>2037</v>
      </c>
    </row>
    <row r="238" spans="1:4" ht="14.25">
      <c r="A238" s="384"/>
      <c r="B238" s="487"/>
      <c r="C238" s="682"/>
      <c r="D238" s="682"/>
    </row>
    <row r="239" spans="1:4" ht="14.25">
      <c r="A239" s="359"/>
      <c r="B239" s="357"/>
      <c r="C239" s="358"/>
      <c r="D239" s="358"/>
    </row>
    <row r="240" spans="1:4" ht="15.75" thickBot="1">
      <c r="A240" s="213" t="s">
        <v>404</v>
      </c>
      <c r="B240" s="376"/>
      <c r="C240" s="376"/>
      <c r="D240" s="376"/>
    </row>
    <row r="241" spans="1:4" s="448" customFormat="1" ht="15">
      <c r="A241" s="442" t="s">
        <v>394</v>
      </c>
      <c r="B241" s="567"/>
      <c r="C241" s="446">
        <v>2002</v>
      </c>
      <c r="D241" s="444">
        <v>2001</v>
      </c>
    </row>
    <row r="242" spans="1:4" s="274" customFormat="1" ht="14.25">
      <c r="A242" s="96" t="s">
        <v>395</v>
      </c>
      <c r="B242" s="568"/>
      <c r="C242" s="397">
        <f>86+80+40+1406</f>
        <v>1612</v>
      </c>
      <c r="D242" s="378">
        <f>D237</f>
        <v>2037</v>
      </c>
    </row>
    <row r="243" spans="1:4" ht="28.5">
      <c r="A243" s="96" t="s">
        <v>977</v>
      </c>
      <c r="B243" s="573"/>
      <c r="C243" s="405">
        <f>SUM(C244:C245)</f>
        <v>274</v>
      </c>
      <c r="D243" s="402"/>
    </row>
    <row r="244" spans="1:4" ht="14.25">
      <c r="A244" s="96" t="s">
        <v>780</v>
      </c>
      <c r="B244" s="568"/>
      <c r="C244" s="397">
        <f>109+142</f>
        <v>251</v>
      </c>
      <c r="D244" s="378"/>
    </row>
    <row r="245" spans="1:4" ht="14.25">
      <c r="A245" s="572" t="s">
        <v>781</v>
      </c>
      <c r="B245" s="574"/>
      <c r="C245" s="484">
        <v>23</v>
      </c>
      <c r="D245" s="485"/>
    </row>
    <row r="246" spans="1:4" ht="15.75" thickBot="1">
      <c r="A246" s="255" t="s">
        <v>1038</v>
      </c>
      <c r="B246" s="569"/>
      <c r="C246" s="398">
        <f>C242+C243</f>
        <v>1886</v>
      </c>
      <c r="D246" s="399">
        <f>D242+D243</f>
        <v>2037</v>
      </c>
    </row>
    <row r="247" spans="1:4" ht="14.25">
      <c r="A247" s="359"/>
      <c r="B247" s="487"/>
      <c r="C247" s="682"/>
      <c r="D247" s="682"/>
    </row>
    <row r="248" spans="1:4" ht="14.25">
      <c r="A248" s="359"/>
      <c r="B248" s="357"/>
      <c r="C248" s="358"/>
      <c r="D248" s="358"/>
    </row>
    <row r="249" spans="1:4" ht="15.75" thickBot="1">
      <c r="A249" s="213" t="s">
        <v>992</v>
      </c>
      <c r="B249" s="376"/>
      <c r="C249" s="376"/>
      <c r="D249" s="376"/>
    </row>
    <row r="250" spans="1:4" s="448" customFormat="1" ht="15">
      <c r="A250" s="442" t="s">
        <v>1039</v>
      </c>
      <c r="B250" s="567"/>
      <c r="C250" s="446">
        <v>2002</v>
      </c>
      <c r="D250" s="444">
        <v>2001</v>
      </c>
    </row>
    <row r="251" spans="1:4" ht="28.5">
      <c r="A251" s="96" t="s">
        <v>1040</v>
      </c>
      <c r="B251" s="573"/>
      <c r="C251" s="405"/>
      <c r="D251" s="402">
        <v>148</v>
      </c>
    </row>
    <row r="252" spans="1:4" ht="14.25">
      <c r="A252" s="96" t="s">
        <v>398</v>
      </c>
      <c r="B252" s="568"/>
      <c r="C252" s="397">
        <v>0</v>
      </c>
      <c r="D252" s="378">
        <v>0</v>
      </c>
    </row>
    <row r="253" spans="1:4" ht="14.25">
      <c r="A253" s="96" t="s">
        <v>954</v>
      </c>
      <c r="B253" s="568"/>
      <c r="C253" s="397"/>
      <c r="D253" s="378"/>
    </row>
    <row r="254" spans="1:4" ht="15.75" thickBot="1">
      <c r="A254" s="255" t="s">
        <v>397</v>
      </c>
      <c r="B254" s="569"/>
      <c r="C254" s="398">
        <f>C251</f>
        <v>0</v>
      </c>
      <c r="D254" s="399">
        <f>D251</f>
        <v>148</v>
      </c>
    </row>
    <row r="255" spans="1:4" ht="14.25">
      <c r="A255" s="359"/>
      <c r="B255" s="487"/>
      <c r="C255" s="487"/>
      <c r="D255" s="487"/>
    </row>
    <row r="256" spans="1:4" s="274" customFormat="1" ht="15.75" thickBot="1">
      <c r="A256" s="213" t="s">
        <v>236</v>
      </c>
      <c r="B256" s="376"/>
      <c r="C256" s="376"/>
      <c r="D256" s="376"/>
    </row>
    <row r="257" spans="1:4" s="448" customFormat="1" ht="15">
      <c r="A257" s="442" t="s">
        <v>1041</v>
      </c>
      <c r="B257" s="567"/>
      <c r="C257" s="446">
        <v>2002</v>
      </c>
      <c r="D257" s="444">
        <v>2001</v>
      </c>
    </row>
    <row r="258" spans="1:4" ht="14.25">
      <c r="A258" s="96" t="s">
        <v>1042</v>
      </c>
      <c r="B258" s="568"/>
      <c r="C258" s="363">
        <f>SUM(C259:C268)</f>
        <v>0</v>
      </c>
      <c r="D258" s="364">
        <f>SUM(D259:D268)</f>
        <v>0</v>
      </c>
    </row>
    <row r="259" spans="1:4" ht="14.25">
      <c r="A259" s="96" t="s">
        <v>220</v>
      </c>
      <c r="B259" s="568"/>
      <c r="C259" s="363"/>
      <c r="D259" s="364"/>
    </row>
    <row r="260" spans="1:4" ht="14.25">
      <c r="A260" s="96" t="s">
        <v>954</v>
      </c>
      <c r="B260" s="568"/>
      <c r="C260" s="363"/>
      <c r="D260" s="364"/>
    </row>
    <row r="261" spans="1:4" ht="14.25">
      <c r="A261" s="96" t="s">
        <v>221</v>
      </c>
      <c r="B261" s="568"/>
      <c r="C261" s="363"/>
      <c r="D261" s="364"/>
    </row>
    <row r="262" spans="1:4" ht="14.25">
      <c r="A262" s="96" t="s">
        <v>954</v>
      </c>
      <c r="B262" s="568"/>
      <c r="C262" s="363"/>
      <c r="D262" s="364"/>
    </row>
    <row r="263" spans="1:4" ht="14.25">
      <c r="A263" s="96" t="s">
        <v>222</v>
      </c>
      <c r="B263" s="568"/>
      <c r="C263" s="363"/>
      <c r="D263" s="364"/>
    </row>
    <row r="264" spans="1:4" s="274" customFormat="1" ht="14.25">
      <c r="A264" s="96" t="s">
        <v>954</v>
      </c>
      <c r="B264" s="568"/>
      <c r="C264" s="363"/>
      <c r="D264" s="364"/>
    </row>
    <row r="265" spans="1:4" ht="14.25">
      <c r="A265" s="96" t="s">
        <v>223</v>
      </c>
      <c r="B265" s="568"/>
      <c r="C265" s="363"/>
      <c r="D265" s="364"/>
    </row>
    <row r="266" spans="1:4" ht="14.25">
      <c r="A266" s="96" t="s">
        <v>954</v>
      </c>
      <c r="B266" s="568"/>
      <c r="C266" s="363"/>
      <c r="D266" s="364"/>
    </row>
    <row r="267" spans="1:4" ht="14.25">
      <c r="A267" s="96" t="s">
        <v>224</v>
      </c>
      <c r="B267" s="568"/>
      <c r="C267" s="363"/>
      <c r="D267" s="364"/>
    </row>
    <row r="268" spans="1:4" ht="14.25">
      <c r="A268" s="96" t="s">
        <v>954</v>
      </c>
      <c r="B268" s="568"/>
      <c r="C268" s="363"/>
      <c r="D268" s="364"/>
    </row>
    <row r="269" spans="1:4" ht="14.25">
      <c r="A269" s="96" t="s">
        <v>1043</v>
      </c>
      <c r="B269" s="568"/>
      <c r="C269" s="363"/>
      <c r="D269" s="364"/>
    </row>
    <row r="270" spans="1:4" ht="14.25">
      <c r="A270" s="96" t="s">
        <v>954</v>
      </c>
      <c r="B270" s="568"/>
      <c r="C270" s="363"/>
      <c r="D270" s="364"/>
    </row>
    <row r="271" spans="1:4" s="274" customFormat="1" ht="14.25">
      <c r="A271" s="96" t="s">
        <v>331</v>
      </c>
      <c r="B271" s="568"/>
      <c r="C271" s="363">
        <f>C258+C269</f>
        <v>0</v>
      </c>
      <c r="D271" s="364">
        <f>D258+D269</f>
        <v>0</v>
      </c>
    </row>
    <row r="272" spans="1:4" ht="14.25">
      <c r="A272" s="96" t="s">
        <v>1044</v>
      </c>
      <c r="B272" s="568"/>
      <c r="C272" s="363"/>
      <c r="D272" s="364"/>
    </row>
    <row r="273" spans="1:4" ht="15.75" thickBot="1">
      <c r="A273" s="255" t="s">
        <v>1045</v>
      </c>
      <c r="B273" s="569"/>
      <c r="C273" s="398">
        <f>C271+C272</f>
        <v>0</v>
      </c>
      <c r="D273" s="399">
        <f>D271+D272</f>
        <v>0</v>
      </c>
    </row>
    <row r="274" spans="1:4" ht="14.25">
      <c r="A274" s="359"/>
      <c r="B274" s="357"/>
      <c r="C274" s="483"/>
      <c r="D274" s="483"/>
    </row>
    <row r="275" spans="1:4" ht="14.25">
      <c r="A275" s="359"/>
      <c r="B275" s="357"/>
      <c r="C275" s="358"/>
      <c r="D275" s="358"/>
    </row>
    <row r="276" spans="1:4" ht="15.75" thickBot="1">
      <c r="A276" s="213" t="s">
        <v>238</v>
      </c>
      <c r="B276" s="376"/>
      <c r="C276" s="376"/>
      <c r="D276" s="376"/>
    </row>
    <row r="277" spans="1:4" s="448" customFormat="1" ht="30">
      <c r="A277" s="442" t="s">
        <v>225</v>
      </c>
      <c r="B277" s="567"/>
      <c r="C277" s="446">
        <v>2002</v>
      </c>
      <c r="D277" s="444">
        <v>2001</v>
      </c>
    </row>
    <row r="278" spans="1:4" ht="14.25">
      <c r="A278" s="96" t="s">
        <v>402</v>
      </c>
      <c r="B278" s="568"/>
      <c r="C278" s="363"/>
      <c r="D278" s="364"/>
    </row>
    <row r="279" spans="1:4" ht="14.25">
      <c r="A279" s="96" t="s">
        <v>954</v>
      </c>
      <c r="B279" s="568"/>
      <c r="C279" s="363"/>
      <c r="D279" s="364"/>
    </row>
    <row r="280" spans="1:4" ht="14.25">
      <c r="A280" s="96" t="s">
        <v>964</v>
      </c>
      <c r="B280" s="568"/>
      <c r="C280" s="363"/>
      <c r="D280" s="364"/>
    </row>
    <row r="281" spans="1:4" ht="14.25">
      <c r="A281" s="96" t="s">
        <v>954</v>
      </c>
      <c r="B281" s="568"/>
      <c r="C281" s="363"/>
      <c r="D281" s="364"/>
    </row>
    <row r="282" spans="1:4" ht="14.25">
      <c r="A282" s="96" t="s">
        <v>966</v>
      </c>
      <c r="B282" s="568"/>
      <c r="C282" s="363"/>
      <c r="D282" s="364"/>
    </row>
    <row r="283" spans="1:4" ht="14.25">
      <c r="A283" s="96" t="s">
        <v>954</v>
      </c>
      <c r="B283" s="568"/>
      <c r="C283" s="363"/>
      <c r="D283" s="364"/>
    </row>
    <row r="284" spans="1:4" ht="14.25">
      <c r="A284" s="96" t="s">
        <v>403</v>
      </c>
      <c r="B284" s="568"/>
      <c r="C284" s="363">
        <f>C278+C280-C282</f>
        <v>0</v>
      </c>
      <c r="D284" s="364">
        <f>D278+D280-D282</f>
        <v>0</v>
      </c>
    </row>
    <row r="285" spans="1:4" ht="15" thickBot="1">
      <c r="A285" s="257" t="s">
        <v>954</v>
      </c>
      <c r="B285" s="575"/>
      <c r="C285" s="395"/>
      <c r="D285" s="396"/>
    </row>
    <row r="286" spans="1:4" ht="14.25">
      <c r="A286" s="359"/>
      <c r="B286" s="357"/>
      <c r="C286" s="358"/>
      <c r="D286" s="358"/>
    </row>
    <row r="287" spans="1:4" ht="14.25">
      <c r="A287" s="359"/>
      <c r="B287" s="357"/>
      <c r="C287" s="358"/>
      <c r="D287" s="358"/>
    </row>
    <row r="288" spans="1:4" ht="15.75" thickBot="1">
      <c r="A288" s="213" t="s">
        <v>240</v>
      </c>
      <c r="B288" s="376"/>
      <c r="C288" s="376"/>
      <c r="D288" s="376"/>
    </row>
    <row r="289" spans="1:4" s="448" customFormat="1" ht="30">
      <c r="A289" s="442" t="s">
        <v>226</v>
      </c>
      <c r="B289" s="567"/>
      <c r="C289" s="446">
        <v>2002</v>
      </c>
      <c r="D289" s="444">
        <v>2001</v>
      </c>
    </row>
    <row r="290" spans="1:4" ht="14.25">
      <c r="A290" s="96" t="s">
        <v>227</v>
      </c>
      <c r="B290" s="568"/>
      <c r="C290" s="363"/>
      <c r="D290" s="364"/>
    </row>
    <row r="291" spans="1:4" s="274" customFormat="1" ht="14.25">
      <c r="A291" s="96" t="s">
        <v>949</v>
      </c>
      <c r="B291" s="568"/>
      <c r="C291" s="363"/>
      <c r="D291" s="364"/>
    </row>
    <row r="292" spans="1:4" ht="14.25">
      <c r="A292" s="96" t="s">
        <v>954</v>
      </c>
      <c r="B292" s="568"/>
      <c r="C292" s="363"/>
      <c r="D292" s="364"/>
    </row>
    <row r="293" spans="1:4" ht="14.25">
      <c r="A293" s="96" t="s">
        <v>950</v>
      </c>
      <c r="B293" s="568"/>
      <c r="C293" s="363"/>
      <c r="D293" s="364"/>
    </row>
    <row r="294" spans="1:4" ht="14.25">
      <c r="A294" s="96" t="s">
        <v>954</v>
      </c>
      <c r="B294" s="568"/>
      <c r="C294" s="363"/>
      <c r="D294" s="364"/>
    </row>
    <row r="295" spans="1:4" ht="30" thickBot="1">
      <c r="A295" s="257" t="s">
        <v>228</v>
      </c>
      <c r="B295" s="569"/>
      <c r="C295" s="398">
        <f>C290+C291-C293</f>
        <v>0</v>
      </c>
      <c r="D295" s="399">
        <f>D290+D291-D293</f>
        <v>0</v>
      </c>
    </row>
    <row r="296" spans="1:4" ht="14.25">
      <c r="A296" s="359"/>
      <c r="B296" s="357"/>
      <c r="C296" s="358"/>
      <c r="D296" s="358"/>
    </row>
    <row r="297" spans="1:4" ht="14.25">
      <c r="A297" s="359"/>
      <c r="B297" s="357"/>
      <c r="C297" s="358"/>
      <c r="D297" s="358"/>
    </row>
    <row r="298" spans="1:4" ht="15.75" thickBot="1">
      <c r="A298" s="213" t="s">
        <v>849</v>
      </c>
      <c r="B298" s="376"/>
      <c r="C298" s="376"/>
      <c r="D298" s="376"/>
    </row>
    <row r="299" spans="1:4" s="448" customFormat="1" ht="15">
      <c r="A299" s="442" t="s">
        <v>229</v>
      </c>
      <c r="B299" s="567"/>
      <c r="C299" s="446">
        <v>2002</v>
      </c>
      <c r="D299" s="444">
        <v>2001</v>
      </c>
    </row>
    <row r="300" spans="1:4" ht="14.25">
      <c r="A300" s="96" t="s">
        <v>230</v>
      </c>
      <c r="B300" s="568"/>
      <c r="C300" s="363"/>
      <c r="D300" s="364"/>
    </row>
    <row r="301" spans="1:4" ht="14.25">
      <c r="A301" s="96" t="s">
        <v>231</v>
      </c>
      <c r="B301" s="568"/>
      <c r="C301" s="363">
        <f>C303+C305+C307+C308</f>
        <v>0</v>
      </c>
      <c r="D301" s="364">
        <f>D303+D305+D307+D308</f>
        <v>0</v>
      </c>
    </row>
    <row r="302" spans="1:4" ht="14.25">
      <c r="A302" s="96" t="s">
        <v>232</v>
      </c>
      <c r="B302" s="568"/>
      <c r="C302" s="363"/>
      <c r="D302" s="364"/>
    </row>
    <row r="303" spans="1:4" s="274" customFormat="1" ht="14.25">
      <c r="A303" s="96" t="s">
        <v>233</v>
      </c>
      <c r="B303" s="568"/>
      <c r="C303" s="363"/>
      <c r="D303" s="364"/>
    </row>
    <row r="304" spans="1:4" ht="14.25">
      <c r="A304" s="96" t="s">
        <v>405</v>
      </c>
      <c r="B304" s="568"/>
      <c r="C304" s="363"/>
      <c r="D304" s="364"/>
    </row>
    <row r="305" spans="1:4" ht="14.25">
      <c r="A305" s="96" t="s">
        <v>233</v>
      </c>
      <c r="B305" s="568"/>
      <c r="C305" s="363"/>
      <c r="D305" s="364"/>
    </row>
    <row r="306" spans="1:4" ht="14.25">
      <c r="A306" s="96" t="s">
        <v>406</v>
      </c>
      <c r="B306" s="568"/>
      <c r="C306" s="363"/>
      <c r="D306" s="364"/>
    </row>
    <row r="307" spans="1:4" ht="14.25">
      <c r="A307" s="96" t="s">
        <v>233</v>
      </c>
      <c r="B307" s="568"/>
      <c r="C307" s="363"/>
      <c r="D307" s="364"/>
    </row>
    <row r="308" spans="1:4" ht="14.25">
      <c r="A308" s="96" t="s">
        <v>234</v>
      </c>
      <c r="B308" s="568"/>
      <c r="C308" s="363"/>
      <c r="D308" s="364"/>
    </row>
    <row r="309" spans="1:4" ht="15.75" thickBot="1">
      <c r="A309" s="255" t="s">
        <v>235</v>
      </c>
      <c r="B309" s="569"/>
      <c r="C309" s="398">
        <f>C300+C301</f>
        <v>0</v>
      </c>
      <c r="D309" s="399">
        <f>D300+D301</f>
        <v>0</v>
      </c>
    </row>
    <row r="310" spans="1:4" ht="14.25">
      <c r="A310" s="359"/>
      <c r="B310" s="357"/>
      <c r="C310" s="358"/>
      <c r="D310" s="358"/>
    </row>
    <row r="311" spans="1:4" ht="15.75" thickBot="1">
      <c r="A311" s="213" t="s">
        <v>1244</v>
      </c>
      <c r="B311" s="376"/>
      <c r="C311" s="376"/>
      <c r="D311" s="376"/>
    </row>
    <row r="312" spans="1:4" s="448" customFormat="1" ht="15">
      <c r="A312" s="442" t="s">
        <v>237</v>
      </c>
      <c r="B312" s="567"/>
      <c r="C312" s="446">
        <v>2002</v>
      </c>
      <c r="D312" s="444">
        <v>2001</v>
      </c>
    </row>
    <row r="313" spans="1:4" s="274" customFormat="1" ht="14.25">
      <c r="A313" s="96" t="s">
        <v>402</v>
      </c>
      <c r="B313" s="568"/>
      <c r="C313" s="363"/>
      <c r="D313" s="364"/>
    </row>
    <row r="314" spans="1:4" ht="14.25">
      <c r="A314" s="96" t="s">
        <v>954</v>
      </c>
      <c r="B314" s="568"/>
      <c r="C314" s="363"/>
      <c r="D314" s="364"/>
    </row>
    <row r="315" spans="1:4" ht="14.25">
      <c r="A315" s="96" t="s">
        <v>964</v>
      </c>
      <c r="B315" s="568"/>
      <c r="C315" s="363"/>
      <c r="D315" s="364"/>
    </row>
    <row r="316" spans="1:4" ht="14.25">
      <c r="A316" s="96" t="s">
        <v>954</v>
      </c>
      <c r="B316" s="568"/>
      <c r="C316" s="363"/>
      <c r="D316" s="364"/>
    </row>
    <row r="317" spans="1:4" ht="14.25">
      <c r="A317" s="96" t="s">
        <v>966</v>
      </c>
      <c r="B317" s="568"/>
      <c r="C317" s="363"/>
      <c r="D317" s="364"/>
    </row>
    <row r="318" spans="1:4" ht="14.25">
      <c r="A318" s="96" t="s">
        <v>954</v>
      </c>
      <c r="B318" s="568"/>
      <c r="C318" s="363"/>
      <c r="D318" s="364"/>
    </row>
    <row r="319" spans="1:4" ht="15">
      <c r="A319" s="96" t="s">
        <v>403</v>
      </c>
      <c r="B319" s="576"/>
      <c r="C319" s="361">
        <f>C313+C315-C317</f>
        <v>0</v>
      </c>
      <c r="D319" s="362">
        <f>D313+D315-D317</f>
        <v>0</v>
      </c>
    </row>
    <row r="320" spans="1:4" ht="15" thickBot="1">
      <c r="A320" s="257" t="s">
        <v>954</v>
      </c>
      <c r="B320" s="575"/>
      <c r="C320" s="395"/>
      <c r="D320" s="396"/>
    </row>
    <row r="321" spans="1:4" ht="14.25">
      <c r="A321" s="359"/>
      <c r="B321" s="357"/>
      <c r="C321" s="358"/>
      <c r="D321" s="358"/>
    </row>
    <row r="322" spans="1:4" ht="14.25">
      <c r="A322" s="359"/>
      <c r="B322" s="357"/>
      <c r="C322" s="358"/>
      <c r="D322" s="358"/>
    </row>
    <row r="323" spans="1:4" ht="15.75" thickBot="1">
      <c r="A323" s="213" t="s">
        <v>1258</v>
      </c>
      <c r="B323" s="376"/>
      <c r="C323" s="376"/>
      <c r="D323" s="376"/>
    </row>
    <row r="324" spans="1:4" s="448" customFormat="1" ht="30">
      <c r="A324" s="442" t="s">
        <v>239</v>
      </c>
      <c r="B324" s="567"/>
      <c r="C324" s="446">
        <v>2002</v>
      </c>
      <c r="D324" s="444">
        <v>2001</v>
      </c>
    </row>
    <row r="325" spans="1:4" ht="14.25">
      <c r="A325" s="96" t="s">
        <v>402</v>
      </c>
      <c r="B325" s="568"/>
      <c r="C325" s="363"/>
      <c r="D325" s="364"/>
    </row>
    <row r="326" spans="1:4" s="274" customFormat="1" ht="14.25">
      <c r="A326" s="96" t="s">
        <v>348</v>
      </c>
      <c r="B326" s="568"/>
      <c r="C326" s="363"/>
      <c r="D326" s="364"/>
    </row>
    <row r="327" spans="1:4" ht="14.25">
      <c r="A327" s="96" t="s">
        <v>964</v>
      </c>
      <c r="B327" s="568"/>
      <c r="C327" s="363"/>
      <c r="D327" s="364"/>
    </row>
    <row r="328" spans="1:4" ht="14.25">
      <c r="A328" s="96" t="s">
        <v>348</v>
      </c>
      <c r="B328" s="568"/>
      <c r="C328" s="363"/>
      <c r="D328" s="364"/>
    </row>
    <row r="329" spans="1:4" ht="14.25">
      <c r="A329" s="96" t="s">
        <v>966</v>
      </c>
      <c r="B329" s="568"/>
      <c r="C329" s="363"/>
      <c r="D329" s="364"/>
    </row>
    <row r="330" spans="1:4" ht="14.25">
      <c r="A330" s="96" t="s">
        <v>348</v>
      </c>
      <c r="B330" s="568"/>
      <c r="C330" s="363"/>
      <c r="D330" s="364"/>
    </row>
    <row r="331" spans="1:4" ht="15">
      <c r="A331" s="96" t="s">
        <v>403</v>
      </c>
      <c r="B331" s="576"/>
      <c r="C331" s="361">
        <f>C325-C327-C329</f>
        <v>0</v>
      </c>
      <c r="D331" s="362">
        <f>D325-D327-D329</f>
        <v>0</v>
      </c>
    </row>
    <row r="332" spans="1:4" ht="15" thickBot="1">
      <c r="A332" s="257" t="s">
        <v>348</v>
      </c>
      <c r="B332" s="575"/>
      <c r="C332" s="395"/>
      <c r="D332" s="396"/>
    </row>
    <row r="333" spans="1:4" ht="14.25">
      <c r="A333" s="359"/>
      <c r="B333" s="357"/>
      <c r="C333" s="358"/>
      <c r="D333" s="358"/>
    </row>
    <row r="334" spans="1:4" ht="14.25">
      <c r="A334" s="359"/>
      <c r="B334" s="357"/>
      <c r="C334" s="358"/>
      <c r="D334" s="358"/>
    </row>
    <row r="335" spans="1:4" ht="15.75" thickBot="1">
      <c r="A335" s="406" t="s">
        <v>38</v>
      </c>
      <c r="B335" s="407"/>
      <c r="C335" s="407"/>
      <c r="D335" s="407"/>
    </row>
    <row r="336" spans="1:4" s="448" customFormat="1" ht="15">
      <c r="A336" s="442" t="s">
        <v>241</v>
      </c>
      <c r="B336" s="567"/>
      <c r="C336" s="443">
        <v>2002</v>
      </c>
      <c r="D336" s="444">
        <v>2001</v>
      </c>
    </row>
    <row r="337" spans="1:4" ht="14.25">
      <c r="A337" s="96" t="s">
        <v>242</v>
      </c>
      <c r="B337" s="577"/>
      <c r="C337" s="408">
        <f>SUM(C338:C344)</f>
        <v>2509</v>
      </c>
      <c r="D337" s="378">
        <f>SUM(D338:D344)</f>
        <v>3002</v>
      </c>
    </row>
    <row r="338" spans="1:4" s="274" customFormat="1" ht="14.25">
      <c r="A338" s="96" t="s">
        <v>844</v>
      </c>
      <c r="B338" s="577"/>
      <c r="C338" s="423">
        <f>16339+527-527-21962+8132</f>
        <v>2509</v>
      </c>
      <c r="D338" s="378">
        <f>16671-13669</f>
        <v>3002</v>
      </c>
    </row>
    <row r="339" spans="1:4" ht="14.25">
      <c r="A339" s="96" t="s">
        <v>845</v>
      </c>
      <c r="B339" s="577"/>
      <c r="C339" s="408"/>
      <c r="D339" s="378"/>
    </row>
    <row r="340" spans="1:4" ht="14.25">
      <c r="A340" s="96" t="s">
        <v>846</v>
      </c>
      <c r="B340" s="577"/>
      <c r="C340" s="408"/>
      <c r="D340" s="378"/>
    </row>
    <row r="341" spans="1:4" ht="14.25">
      <c r="A341" s="96" t="s">
        <v>954</v>
      </c>
      <c r="B341" s="577"/>
      <c r="C341" s="408"/>
      <c r="D341" s="378"/>
    </row>
    <row r="342" spans="1:4" ht="14.25">
      <c r="A342" s="96" t="s">
        <v>847</v>
      </c>
      <c r="B342" s="577"/>
      <c r="C342" s="408">
        <f>2281-2281</f>
        <v>0</v>
      </c>
      <c r="D342" s="378"/>
    </row>
    <row r="343" spans="1:4" ht="14.25">
      <c r="A343" s="96" t="s">
        <v>848</v>
      </c>
      <c r="B343" s="577"/>
      <c r="C343" s="408"/>
      <c r="D343" s="378"/>
    </row>
    <row r="344" spans="1:4" ht="14.25">
      <c r="A344" s="96" t="s">
        <v>954</v>
      </c>
      <c r="B344" s="577"/>
      <c r="C344" s="408"/>
      <c r="D344" s="378"/>
    </row>
    <row r="345" spans="1:4" ht="14.25">
      <c r="A345" s="96" t="s">
        <v>243</v>
      </c>
      <c r="B345" s="577"/>
      <c r="C345" s="408">
        <f>SUM(C346:C352)</f>
        <v>0</v>
      </c>
      <c r="D345" s="378">
        <f>SUM(D346:D352)</f>
        <v>0</v>
      </c>
    </row>
    <row r="346" spans="1:4" ht="14.25">
      <c r="A346" s="96" t="s">
        <v>844</v>
      </c>
      <c r="B346" s="577"/>
      <c r="C346" s="408"/>
      <c r="D346" s="378"/>
    </row>
    <row r="347" spans="1:4" ht="14.25">
      <c r="A347" s="96" t="s">
        <v>845</v>
      </c>
      <c r="B347" s="577"/>
      <c r="C347" s="408"/>
      <c r="D347" s="378"/>
    </row>
    <row r="348" spans="1:4" ht="14.25">
      <c r="A348" s="96" t="s">
        <v>846</v>
      </c>
      <c r="B348" s="577"/>
      <c r="C348" s="408"/>
      <c r="D348" s="378"/>
    </row>
    <row r="349" spans="1:4" ht="14.25">
      <c r="A349" s="96" t="s">
        <v>954</v>
      </c>
      <c r="B349" s="577"/>
      <c r="C349" s="408"/>
      <c r="D349" s="378"/>
    </row>
    <row r="350" spans="1:4" s="274" customFormat="1" ht="14.25">
      <c r="A350" s="96" t="s">
        <v>847</v>
      </c>
      <c r="B350" s="577"/>
      <c r="C350" s="408"/>
      <c r="D350" s="378"/>
    </row>
    <row r="351" spans="1:4" ht="14.25">
      <c r="A351" s="96" t="s">
        <v>848</v>
      </c>
      <c r="B351" s="577"/>
      <c r="C351" s="408"/>
      <c r="D351" s="378"/>
    </row>
    <row r="352" spans="1:4" ht="14.25">
      <c r="A352" s="96" t="s">
        <v>954</v>
      </c>
      <c r="B352" s="577"/>
      <c r="C352" s="408"/>
      <c r="D352" s="378"/>
    </row>
    <row r="353" spans="1:4" ht="14.25">
      <c r="A353" s="96" t="s">
        <v>839</v>
      </c>
      <c r="B353" s="577"/>
      <c r="C353" s="408">
        <f>SUM(C354:C360)</f>
        <v>10234</v>
      </c>
      <c r="D353" s="378">
        <f>SUM(D354:D360)</f>
        <v>19134</v>
      </c>
    </row>
    <row r="354" spans="1:4" ht="14.25">
      <c r="A354" s="96" t="s">
        <v>844</v>
      </c>
      <c r="B354" s="577"/>
      <c r="C354" s="408">
        <v>10234</v>
      </c>
      <c r="D354" s="378">
        <f>14691+4443</f>
        <v>19134</v>
      </c>
    </row>
    <row r="355" spans="1:4" ht="14.25">
      <c r="A355" s="96" t="s">
        <v>845</v>
      </c>
      <c r="B355" s="577"/>
      <c r="C355" s="408"/>
      <c r="D355" s="378"/>
    </row>
    <row r="356" spans="1:4" ht="14.25">
      <c r="A356" s="96" t="s">
        <v>846</v>
      </c>
      <c r="B356" s="577"/>
      <c r="C356" s="408"/>
      <c r="D356" s="378"/>
    </row>
    <row r="357" spans="1:4" ht="14.25">
      <c r="A357" s="96" t="s">
        <v>954</v>
      </c>
      <c r="B357" s="577"/>
      <c r="C357" s="408"/>
      <c r="D357" s="378"/>
    </row>
    <row r="358" spans="1:4" ht="14.25">
      <c r="A358" s="96" t="s">
        <v>847</v>
      </c>
      <c r="B358" s="577"/>
      <c r="C358" s="408"/>
      <c r="D358" s="378"/>
    </row>
    <row r="359" spans="1:4" ht="14.25">
      <c r="A359" s="96" t="s">
        <v>848</v>
      </c>
      <c r="B359" s="577"/>
      <c r="C359" s="408"/>
      <c r="D359" s="378"/>
    </row>
    <row r="360" spans="1:4" ht="14.25">
      <c r="A360" s="96" t="s">
        <v>954</v>
      </c>
      <c r="B360" s="577"/>
      <c r="C360" s="408"/>
      <c r="D360" s="378"/>
    </row>
    <row r="361" spans="1:4" ht="14.25">
      <c r="A361" s="96" t="s">
        <v>840</v>
      </c>
      <c r="B361" s="577"/>
      <c r="C361" s="408">
        <f>SUM(C362:C368)</f>
        <v>1</v>
      </c>
      <c r="D361" s="378">
        <f>SUM(D362:D368)</f>
        <v>1</v>
      </c>
    </row>
    <row r="362" spans="1:4" ht="14.25">
      <c r="A362" s="96" t="s">
        <v>844</v>
      </c>
      <c r="B362" s="577"/>
      <c r="C362" s="408">
        <v>1</v>
      </c>
      <c r="D362" s="378">
        <v>1</v>
      </c>
    </row>
    <row r="363" spans="1:4" ht="14.25">
      <c r="A363" s="96" t="s">
        <v>845</v>
      </c>
      <c r="B363" s="577"/>
      <c r="C363" s="408"/>
      <c r="D363" s="378"/>
    </row>
    <row r="364" spans="1:4" ht="14.25">
      <c r="A364" s="96" t="s">
        <v>846</v>
      </c>
      <c r="B364" s="577"/>
      <c r="C364" s="408"/>
      <c r="D364" s="378"/>
    </row>
    <row r="365" spans="1:4" ht="14.25">
      <c r="A365" s="96" t="s">
        <v>954</v>
      </c>
      <c r="B365" s="577"/>
      <c r="C365" s="408"/>
      <c r="D365" s="378"/>
    </row>
    <row r="366" spans="1:4" ht="14.25">
      <c r="A366" s="96" t="s">
        <v>847</v>
      </c>
      <c r="B366" s="577"/>
      <c r="C366" s="408"/>
      <c r="D366" s="378"/>
    </row>
    <row r="367" spans="1:4" ht="14.25">
      <c r="A367" s="96" t="s">
        <v>848</v>
      </c>
      <c r="B367" s="577"/>
      <c r="C367" s="408"/>
      <c r="D367" s="378"/>
    </row>
    <row r="368" spans="1:4" ht="14.25">
      <c r="A368" s="96" t="s">
        <v>954</v>
      </c>
      <c r="B368" s="577"/>
      <c r="C368" s="408"/>
      <c r="D368" s="378"/>
    </row>
    <row r="369" spans="1:4" ht="14.25">
      <c r="A369" s="96" t="s">
        <v>841</v>
      </c>
      <c r="B369" s="577"/>
      <c r="C369" s="408">
        <f>SUM(C370:C376)</f>
        <v>0</v>
      </c>
      <c r="D369" s="378">
        <f>SUM(D370:D376)</f>
        <v>0</v>
      </c>
    </row>
    <row r="370" spans="1:4" ht="14.25">
      <c r="A370" s="96" t="s">
        <v>844</v>
      </c>
      <c r="B370" s="577"/>
      <c r="C370" s="408"/>
      <c r="D370" s="378"/>
    </row>
    <row r="371" spans="1:4" ht="14.25">
      <c r="A371" s="96" t="s">
        <v>845</v>
      </c>
      <c r="B371" s="577"/>
      <c r="C371" s="408"/>
      <c r="D371" s="378"/>
    </row>
    <row r="372" spans="1:4" ht="14.25">
      <c r="A372" s="96" t="s">
        <v>846</v>
      </c>
      <c r="B372" s="577"/>
      <c r="C372" s="408"/>
      <c r="D372" s="378"/>
    </row>
    <row r="373" spans="1:4" ht="14.25">
      <c r="A373" s="96" t="s">
        <v>954</v>
      </c>
      <c r="B373" s="577"/>
      <c r="C373" s="408"/>
      <c r="D373" s="378"/>
    </row>
    <row r="374" spans="1:4" ht="14.25">
      <c r="A374" s="96" t="s">
        <v>847</v>
      </c>
      <c r="B374" s="577"/>
      <c r="C374" s="408"/>
      <c r="D374" s="378"/>
    </row>
    <row r="375" spans="1:4" ht="14.25">
      <c r="A375" s="96" t="s">
        <v>848</v>
      </c>
      <c r="B375" s="577"/>
      <c r="C375" s="408"/>
      <c r="D375" s="378"/>
    </row>
    <row r="376" spans="1:4" ht="14.25">
      <c r="A376" s="96" t="s">
        <v>954</v>
      </c>
      <c r="B376" s="577"/>
      <c r="C376" s="408"/>
      <c r="D376" s="378"/>
    </row>
    <row r="377" spans="1:4" ht="14.25">
      <c r="A377" s="96" t="s">
        <v>842</v>
      </c>
      <c r="B377" s="577"/>
      <c r="C377" s="408">
        <f>SUM(C378:C384)</f>
        <v>143</v>
      </c>
      <c r="D377" s="378">
        <f>SUM(D378:D384)</f>
        <v>617</v>
      </c>
    </row>
    <row r="378" spans="1:4" ht="14.25">
      <c r="A378" s="96" t="s">
        <v>844</v>
      </c>
      <c r="B378" s="577"/>
      <c r="C378" s="408"/>
      <c r="D378" s="408">
        <v>1</v>
      </c>
    </row>
    <row r="379" spans="1:4" ht="14.25">
      <c r="A379" s="96" t="s">
        <v>845</v>
      </c>
      <c r="B379" s="577"/>
      <c r="C379" s="408"/>
      <c r="D379" s="378"/>
    </row>
    <row r="380" spans="1:4" ht="14.25">
      <c r="A380" s="96" t="s">
        <v>846</v>
      </c>
      <c r="B380" s="577"/>
      <c r="C380" s="408"/>
      <c r="D380" s="378"/>
    </row>
    <row r="381" spans="1:4" ht="14.25">
      <c r="A381" s="96" t="s">
        <v>954</v>
      </c>
      <c r="B381" s="577"/>
      <c r="C381" s="408"/>
      <c r="D381" s="378"/>
    </row>
    <row r="382" spans="1:4" ht="14.25">
      <c r="A382" s="96" t="s">
        <v>847</v>
      </c>
      <c r="B382" s="577"/>
      <c r="C382" s="408">
        <v>108</v>
      </c>
      <c r="D382" s="378">
        <v>581</v>
      </c>
    </row>
    <row r="383" spans="1:4" ht="14.25">
      <c r="A383" s="96" t="s">
        <v>848</v>
      </c>
      <c r="B383" s="577"/>
      <c r="C383" s="408">
        <v>35</v>
      </c>
      <c r="D383" s="378">
        <v>35</v>
      </c>
    </row>
    <row r="384" spans="1:4" ht="14.25">
      <c r="A384" s="96" t="s">
        <v>954</v>
      </c>
      <c r="B384" s="577"/>
      <c r="C384" s="408"/>
      <c r="D384" s="378"/>
    </row>
    <row r="385" spans="1:4" ht="15.75" thickBot="1">
      <c r="A385" s="255" t="s">
        <v>843</v>
      </c>
      <c r="B385" s="578"/>
      <c r="C385" s="463">
        <f>C377+C369+C361+C353+C345+C337</f>
        <v>12887</v>
      </c>
      <c r="D385" s="464">
        <f>D377+D369+D361+D353+D345+D337</f>
        <v>22754</v>
      </c>
    </row>
    <row r="386" spans="1:4" ht="14.25">
      <c r="A386" s="359"/>
      <c r="B386" s="483"/>
      <c r="C386" s="618"/>
      <c r="D386" s="618"/>
    </row>
    <row r="387" spans="1:4" ht="14.25">
      <c r="A387" s="359"/>
      <c r="B387" s="357"/>
      <c r="C387" s="358"/>
      <c r="D387" s="386"/>
    </row>
    <row r="388" spans="1:4" ht="15.75" thickBot="1">
      <c r="A388" s="213" t="s">
        <v>978</v>
      </c>
      <c r="B388" s="376"/>
      <c r="C388" s="376"/>
      <c r="D388" s="412"/>
    </row>
    <row r="389" spans="1:4" s="448" customFormat="1" ht="30">
      <c r="A389" s="442" t="s">
        <v>861</v>
      </c>
      <c r="B389" s="567"/>
      <c r="C389" s="443">
        <v>2002</v>
      </c>
      <c r="D389" s="444">
        <v>2001</v>
      </c>
    </row>
    <row r="390" spans="1:4" ht="14.25">
      <c r="A390" s="96" t="s">
        <v>862</v>
      </c>
      <c r="B390" s="568"/>
      <c r="C390" s="363">
        <f>SUM(C391:C394)</f>
        <v>0</v>
      </c>
      <c r="D390" s="364">
        <f>SUM(D391:D394)</f>
        <v>0</v>
      </c>
    </row>
    <row r="391" spans="1:4" ht="14.25">
      <c r="A391" s="96" t="s">
        <v>400</v>
      </c>
      <c r="B391" s="568"/>
      <c r="C391" s="363"/>
      <c r="D391" s="364"/>
    </row>
    <row r="392" spans="1:4" ht="14.25">
      <c r="A392" s="96" t="s">
        <v>864</v>
      </c>
      <c r="B392" s="568"/>
      <c r="C392" s="363"/>
      <c r="D392" s="364"/>
    </row>
    <row r="393" spans="1:4" ht="14.25">
      <c r="A393" s="96" t="s">
        <v>401</v>
      </c>
      <c r="B393" s="568"/>
      <c r="C393" s="363"/>
      <c r="D393" s="364"/>
    </row>
    <row r="394" spans="1:4" ht="14.25">
      <c r="A394" s="96" t="s">
        <v>863</v>
      </c>
      <c r="B394" s="568"/>
      <c r="C394" s="363">
        <f>SUM(C395:C397)</f>
        <v>0</v>
      </c>
      <c r="D394" s="364">
        <f>SUM(D395:D397)</f>
        <v>0</v>
      </c>
    </row>
    <row r="395" spans="1:4" ht="14.25">
      <c r="A395" s="96" t="s">
        <v>400</v>
      </c>
      <c r="B395" s="568"/>
      <c r="C395" s="363"/>
      <c r="D395" s="364"/>
    </row>
    <row r="396" spans="1:4" ht="14.25">
      <c r="A396" s="96" t="s">
        <v>864</v>
      </c>
      <c r="B396" s="568"/>
      <c r="C396" s="363"/>
      <c r="D396" s="364"/>
    </row>
    <row r="397" spans="1:4" ht="15" thickBot="1">
      <c r="A397" s="257" t="s">
        <v>401</v>
      </c>
      <c r="B397" s="575"/>
      <c r="C397" s="395"/>
      <c r="D397" s="396"/>
    </row>
    <row r="398" spans="1:4" ht="14.25">
      <c r="A398" s="359"/>
      <c r="B398" s="357"/>
      <c r="C398" s="358"/>
      <c r="D398" s="411"/>
    </row>
    <row r="399" spans="1:4" ht="14.25">
      <c r="A399" s="359"/>
      <c r="B399" s="357"/>
      <c r="C399" s="358"/>
      <c r="D399" s="386"/>
    </row>
    <row r="400" spans="1:4" ht="15.75" thickBot="1">
      <c r="A400" s="213" t="s">
        <v>970</v>
      </c>
      <c r="B400" s="376"/>
      <c r="C400" s="376"/>
      <c r="D400" s="412"/>
    </row>
    <row r="401" spans="1:4" s="448" customFormat="1" ht="15">
      <c r="A401" s="442" t="s">
        <v>865</v>
      </c>
      <c r="B401" s="567"/>
      <c r="C401" s="443">
        <v>2002</v>
      </c>
      <c r="D401" s="444">
        <v>2001</v>
      </c>
    </row>
    <row r="402" spans="1:4" ht="14.25">
      <c r="A402" s="583" t="s">
        <v>866</v>
      </c>
      <c r="B402" s="584"/>
      <c r="C402" s="585"/>
      <c r="D402" s="586"/>
    </row>
    <row r="403" spans="1:4" s="274" customFormat="1" ht="14.25">
      <c r="A403" s="96" t="s">
        <v>964</v>
      </c>
      <c r="B403" s="568"/>
      <c r="C403" s="363"/>
      <c r="D403" s="364"/>
    </row>
    <row r="404" spans="1:4" ht="14.25">
      <c r="A404" s="96" t="s">
        <v>954</v>
      </c>
      <c r="B404" s="568"/>
      <c r="C404" s="363"/>
      <c r="D404" s="364"/>
    </row>
    <row r="405" spans="1:4" ht="14.25">
      <c r="A405" s="96" t="s">
        <v>966</v>
      </c>
      <c r="B405" s="568"/>
      <c r="C405" s="363"/>
      <c r="D405" s="364"/>
    </row>
    <row r="406" spans="1:4" ht="14.25">
      <c r="A406" s="96" t="s">
        <v>954</v>
      </c>
      <c r="B406" s="568"/>
      <c r="C406" s="363"/>
      <c r="D406" s="364"/>
    </row>
    <row r="407" spans="1:4" ht="14.25">
      <c r="A407" s="96" t="s">
        <v>867</v>
      </c>
      <c r="B407" s="568"/>
      <c r="C407" s="363">
        <f>C402+C403-C405</f>
        <v>0</v>
      </c>
      <c r="D407" s="364">
        <f>D402+D403-D405</f>
        <v>0</v>
      </c>
    </row>
    <row r="408" spans="1:4" ht="14.25">
      <c r="A408" s="96" t="s">
        <v>868</v>
      </c>
      <c r="B408" s="568"/>
      <c r="C408" s="363"/>
      <c r="D408" s="364"/>
    </row>
    <row r="409" spans="1:4" ht="14.25">
      <c r="A409" s="96" t="s">
        <v>869</v>
      </c>
      <c r="B409" s="568"/>
      <c r="C409" s="363"/>
      <c r="D409" s="364"/>
    </row>
    <row r="410" spans="1:4" ht="14.25">
      <c r="A410" s="96" t="s">
        <v>954</v>
      </c>
      <c r="B410" s="568"/>
      <c r="C410" s="363"/>
      <c r="D410" s="364"/>
    </row>
    <row r="411" spans="1:4" ht="14.25">
      <c r="A411" s="96" t="s">
        <v>870</v>
      </c>
      <c r="B411" s="568"/>
      <c r="C411" s="363">
        <f>C408+C409</f>
        <v>0</v>
      </c>
      <c r="D411" s="364">
        <f>D408+D409</f>
        <v>0</v>
      </c>
    </row>
    <row r="412" spans="1:4" ht="15.75" thickBot="1">
      <c r="A412" s="255" t="s">
        <v>871</v>
      </c>
      <c r="B412" s="569"/>
      <c r="C412" s="398">
        <f>C407-C411</f>
        <v>0</v>
      </c>
      <c r="D412" s="399">
        <f>D407-D411</f>
        <v>0</v>
      </c>
    </row>
    <row r="413" spans="1:4" ht="14.25">
      <c r="A413" s="359"/>
      <c r="B413" s="357"/>
      <c r="C413" s="358"/>
      <c r="D413" s="386"/>
    </row>
    <row r="414" spans="1:4" ht="14.25">
      <c r="A414" s="359"/>
      <c r="B414" s="357"/>
      <c r="C414" s="358"/>
      <c r="D414" s="386"/>
    </row>
    <row r="415" spans="1:4" s="274" customFormat="1" ht="15.75" thickBot="1">
      <c r="A415" s="213" t="s">
        <v>393</v>
      </c>
      <c r="B415" s="376"/>
      <c r="C415" s="376"/>
      <c r="D415" s="400"/>
    </row>
    <row r="416" spans="1:4" s="448" customFormat="1" ht="15">
      <c r="A416" s="442" t="s">
        <v>872</v>
      </c>
      <c r="B416" s="567"/>
      <c r="C416" s="443">
        <v>2002</v>
      </c>
      <c r="D416" s="444">
        <v>2001</v>
      </c>
    </row>
    <row r="417" spans="1:5" ht="14.25">
      <c r="A417" s="96" t="s">
        <v>866</v>
      </c>
      <c r="B417" s="568"/>
      <c r="C417" s="363"/>
      <c r="D417" s="364"/>
      <c r="E417" s="25"/>
    </row>
    <row r="418" spans="1:4" ht="14.25">
      <c r="A418" s="96" t="s">
        <v>964</v>
      </c>
      <c r="B418" s="568"/>
      <c r="C418" s="363"/>
      <c r="D418" s="364"/>
    </row>
    <row r="419" spans="1:4" ht="14.25">
      <c r="A419" s="96" t="s">
        <v>954</v>
      </c>
      <c r="B419" s="568"/>
      <c r="C419" s="363"/>
      <c r="D419" s="364"/>
    </row>
    <row r="420" spans="1:4" ht="14.25">
      <c r="A420" s="96" t="s">
        <v>966</v>
      </c>
      <c r="B420" s="568"/>
      <c r="C420" s="363"/>
      <c r="D420" s="364"/>
    </row>
    <row r="421" spans="1:4" ht="14.25">
      <c r="A421" s="96" t="s">
        <v>954</v>
      </c>
      <c r="B421" s="568"/>
      <c r="C421" s="363"/>
      <c r="D421" s="364"/>
    </row>
    <row r="422" spans="1:4" ht="14.25">
      <c r="A422" s="96" t="s">
        <v>867</v>
      </c>
      <c r="B422" s="568"/>
      <c r="C422" s="363">
        <f>C417+C418-C420</f>
        <v>0</v>
      </c>
      <c r="D422" s="364">
        <f>D417+D418-D420</f>
        <v>0</v>
      </c>
    </row>
    <row r="423" spans="1:4" ht="14.25">
      <c r="A423" s="96" t="s">
        <v>868</v>
      </c>
      <c r="B423" s="568"/>
      <c r="C423" s="363"/>
      <c r="D423" s="364"/>
    </row>
    <row r="424" spans="1:4" ht="14.25">
      <c r="A424" s="96" t="s">
        <v>869</v>
      </c>
      <c r="B424" s="568"/>
      <c r="C424" s="363"/>
      <c r="D424" s="364"/>
    </row>
    <row r="425" spans="1:4" ht="14.25">
      <c r="A425" s="96" t="s">
        <v>954</v>
      </c>
      <c r="B425" s="568"/>
      <c r="C425" s="363"/>
      <c r="D425" s="364"/>
    </row>
    <row r="426" spans="1:4" ht="14.25">
      <c r="A426" s="96" t="s">
        <v>870</v>
      </c>
      <c r="B426" s="568"/>
      <c r="C426" s="363">
        <f>C423+C424</f>
        <v>0</v>
      </c>
      <c r="D426" s="364">
        <f>D423+D424</f>
        <v>0</v>
      </c>
    </row>
    <row r="427" spans="1:4" ht="15.75" thickBot="1">
      <c r="A427" s="255" t="s">
        <v>871</v>
      </c>
      <c r="B427" s="569"/>
      <c r="C427" s="398">
        <f>C422-C426</f>
        <v>0</v>
      </c>
      <c r="D427" s="399">
        <f>D422-D426</f>
        <v>0</v>
      </c>
    </row>
    <row r="428" spans="1:4" ht="14.25">
      <c r="A428" s="359"/>
      <c r="B428" s="357"/>
      <c r="C428" s="358"/>
      <c r="D428" s="386"/>
    </row>
    <row r="429" spans="1:4" ht="14.25">
      <c r="A429" s="359"/>
      <c r="B429" s="357"/>
      <c r="C429" s="358"/>
      <c r="D429" s="386"/>
    </row>
    <row r="430" spans="1:4" s="274" customFormat="1" ht="15.75" thickBot="1">
      <c r="A430" s="213" t="s">
        <v>396</v>
      </c>
      <c r="B430" s="376"/>
      <c r="C430" s="376"/>
      <c r="D430" s="400"/>
    </row>
    <row r="431" spans="1:4" s="448" customFormat="1" ht="15">
      <c r="A431" s="442" t="s">
        <v>873</v>
      </c>
      <c r="B431" s="567"/>
      <c r="C431" s="443">
        <v>2002</v>
      </c>
      <c r="D431" s="444">
        <v>2001</v>
      </c>
    </row>
    <row r="432" spans="1:4" ht="14.25">
      <c r="A432" s="583" t="s">
        <v>866</v>
      </c>
      <c r="B432" s="584"/>
      <c r="C432" s="585"/>
      <c r="D432" s="586"/>
    </row>
    <row r="433" spans="1:4" ht="14.25">
      <c r="A433" s="96" t="s">
        <v>964</v>
      </c>
      <c r="B433" s="568"/>
      <c r="C433" s="363"/>
      <c r="D433" s="364"/>
    </row>
    <row r="434" spans="1:4" ht="14.25">
      <c r="A434" s="96" t="s">
        <v>874</v>
      </c>
      <c r="B434" s="568"/>
      <c r="C434" s="363"/>
      <c r="D434" s="364"/>
    </row>
    <row r="435" spans="1:4" ht="14.25">
      <c r="A435" s="96" t="s">
        <v>966</v>
      </c>
      <c r="B435" s="568"/>
      <c r="C435" s="363"/>
      <c r="D435" s="364"/>
    </row>
    <row r="436" spans="1:4" ht="14.25">
      <c r="A436" s="96" t="s">
        <v>874</v>
      </c>
      <c r="B436" s="568"/>
      <c r="C436" s="363"/>
      <c r="D436" s="364"/>
    </row>
    <row r="437" spans="1:4" ht="14.25">
      <c r="A437" s="96" t="s">
        <v>867</v>
      </c>
      <c r="B437" s="568"/>
      <c r="C437" s="363">
        <f>C432+C433-C435</f>
        <v>0</v>
      </c>
      <c r="D437" s="364">
        <f>D432+D433-D435</f>
        <v>0</v>
      </c>
    </row>
    <row r="438" spans="1:4" ht="14.25">
      <c r="A438" s="96" t="s">
        <v>868</v>
      </c>
      <c r="B438" s="568"/>
      <c r="C438" s="363"/>
      <c r="D438" s="364"/>
    </row>
    <row r="439" spans="1:4" ht="14.25">
      <c r="A439" s="96" t="s">
        <v>869</v>
      </c>
      <c r="B439" s="568"/>
      <c r="C439" s="363"/>
      <c r="D439" s="364"/>
    </row>
    <row r="440" spans="1:4" ht="14.25">
      <c r="A440" s="96" t="s">
        <v>954</v>
      </c>
      <c r="B440" s="568"/>
      <c r="C440" s="363"/>
      <c r="D440" s="364"/>
    </row>
    <row r="441" spans="1:4" ht="14.25">
      <c r="A441" s="96" t="s">
        <v>870</v>
      </c>
      <c r="B441" s="568"/>
      <c r="C441" s="363">
        <f>C438+C439</f>
        <v>0</v>
      </c>
      <c r="D441" s="364">
        <f>D438+D439</f>
        <v>0</v>
      </c>
    </row>
    <row r="442" spans="1:4" ht="15.75" thickBot="1">
      <c r="A442" s="255" t="s">
        <v>871</v>
      </c>
      <c r="B442" s="569"/>
      <c r="C442" s="398">
        <f>C437-C441</f>
        <v>0</v>
      </c>
      <c r="D442" s="399">
        <f>D437-D441</f>
        <v>0</v>
      </c>
    </row>
    <row r="443" spans="1:4" ht="14.25">
      <c r="A443" s="359"/>
      <c r="B443" s="357"/>
      <c r="C443" s="358"/>
      <c r="D443" s="386"/>
    </row>
    <row r="444" spans="1:4" ht="14.25">
      <c r="A444" s="359"/>
      <c r="B444" s="357"/>
      <c r="C444" s="358"/>
      <c r="D444" s="386"/>
    </row>
    <row r="445" spans="1:4" s="274" customFormat="1" ht="15.75" thickBot="1">
      <c r="A445" s="213" t="s">
        <v>46</v>
      </c>
      <c r="B445" s="376"/>
      <c r="C445" s="376"/>
      <c r="D445" s="400"/>
    </row>
    <row r="446" spans="1:4" s="448" customFormat="1" ht="15">
      <c r="A446" s="442" t="s">
        <v>284</v>
      </c>
      <c r="B446" s="567"/>
      <c r="C446" s="443">
        <v>2002</v>
      </c>
      <c r="D446" s="444">
        <v>2001</v>
      </c>
    </row>
    <row r="447" spans="1:4" ht="14.25">
      <c r="A447" s="96" t="s">
        <v>285</v>
      </c>
      <c r="B447" s="568"/>
      <c r="C447" s="363"/>
      <c r="D447" s="364"/>
    </row>
    <row r="448" spans="1:4" ht="14.25">
      <c r="A448" s="96" t="s">
        <v>964</v>
      </c>
      <c r="B448" s="568"/>
      <c r="C448" s="363"/>
      <c r="D448" s="364"/>
    </row>
    <row r="449" spans="1:4" ht="14.25">
      <c r="A449" s="96" t="s">
        <v>348</v>
      </c>
      <c r="B449" s="568"/>
      <c r="C449" s="363"/>
      <c r="D449" s="364"/>
    </row>
    <row r="450" spans="1:4" ht="14.25">
      <c r="A450" s="96" t="s">
        <v>966</v>
      </c>
      <c r="B450" s="568"/>
      <c r="C450" s="363"/>
      <c r="D450" s="364"/>
    </row>
    <row r="451" spans="1:4" ht="14.25">
      <c r="A451" s="96" t="s">
        <v>348</v>
      </c>
      <c r="B451" s="568"/>
      <c r="C451" s="363"/>
      <c r="D451" s="364"/>
    </row>
    <row r="452" spans="1:4" ht="14.25">
      <c r="A452" s="96" t="s">
        <v>286</v>
      </c>
      <c r="B452" s="568"/>
      <c r="C452" s="363">
        <f>C447+C448-C450</f>
        <v>0</v>
      </c>
      <c r="D452" s="364">
        <f>D447+D448-D450</f>
        <v>0</v>
      </c>
    </row>
    <row r="453" spans="1:4" ht="14.25">
      <c r="A453" s="96" t="s">
        <v>287</v>
      </c>
      <c r="B453" s="568"/>
      <c r="C453" s="363"/>
      <c r="D453" s="364"/>
    </row>
    <row r="454" spans="1:4" ht="14.25">
      <c r="A454" s="96" t="s">
        <v>288</v>
      </c>
      <c r="B454" s="568"/>
      <c r="C454" s="363"/>
      <c r="D454" s="364"/>
    </row>
    <row r="455" spans="1:4" ht="14.25">
      <c r="A455" s="96" t="s">
        <v>348</v>
      </c>
      <c r="B455" s="568"/>
      <c r="C455" s="363"/>
      <c r="D455" s="364"/>
    </row>
    <row r="456" spans="1:4" ht="14.25">
      <c r="A456" s="96" t="s">
        <v>289</v>
      </c>
      <c r="B456" s="568"/>
      <c r="C456" s="363">
        <f>C453+C454</f>
        <v>0</v>
      </c>
      <c r="D456" s="364">
        <f>D453+D454</f>
        <v>0</v>
      </c>
    </row>
    <row r="457" spans="1:4" ht="15.75" thickBot="1">
      <c r="A457" s="255" t="s">
        <v>290</v>
      </c>
      <c r="B457" s="569"/>
      <c r="C457" s="398">
        <f>C452-C456</f>
        <v>0</v>
      </c>
      <c r="D457" s="399">
        <f>D452-D456</f>
        <v>0</v>
      </c>
    </row>
    <row r="458" spans="1:4" ht="14.25">
      <c r="A458" s="359"/>
      <c r="B458" s="357"/>
      <c r="C458" s="358"/>
      <c r="D458" s="411"/>
    </row>
    <row r="459" spans="1:4" ht="14.25">
      <c r="A459" s="359"/>
      <c r="B459" s="357"/>
      <c r="C459" s="358"/>
      <c r="D459" s="386"/>
    </row>
    <row r="460" spans="1:4" s="274" customFormat="1" ht="15.75" thickBot="1">
      <c r="A460" s="213" t="s">
        <v>47</v>
      </c>
      <c r="B460" s="376"/>
      <c r="C460" s="376"/>
      <c r="D460" s="412"/>
    </row>
    <row r="461" spans="1:4" s="448" customFormat="1" ht="30">
      <c r="A461" s="442" t="s">
        <v>291</v>
      </c>
      <c r="B461" s="567"/>
      <c r="C461" s="443">
        <v>2002</v>
      </c>
      <c r="D461" s="444">
        <v>2001</v>
      </c>
    </row>
    <row r="462" spans="1:4" ht="14.25">
      <c r="A462" s="96" t="s">
        <v>285</v>
      </c>
      <c r="B462" s="568"/>
      <c r="C462" s="363"/>
      <c r="D462" s="364"/>
    </row>
    <row r="463" spans="1:4" ht="14.25">
      <c r="A463" s="96" t="s">
        <v>964</v>
      </c>
      <c r="B463" s="568"/>
      <c r="C463" s="363"/>
      <c r="D463" s="364"/>
    </row>
    <row r="464" spans="1:4" ht="14.25">
      <c r="A464" s="96" t="s">
        <v>348</v>
      </c>
      <c r="B464" s="568"/>
      <c r="C464" s="363"/>
      <c r="D464" s="364"/>
    </row>
    <row r="465" spans="1:4" ht="14.25">
      <c r="A465" s="96" t="s">
        <v>966</v>
      </c>
      <c r="B465" s="568"/>
      <c r="C465" s="363"/>
      <c r="D465" s="364"/>
    </row>
    <row r="466" spans="1:4" ht="14.25">
      <c r="A466" s="96" t="s">
        <v>348</v>
      </c>
      <c r="B466" s="568"/>
      <c r="C466" s="363"/>
      <c r="D466" s="364"/>
    </row>
    <row r="467" spans="1:4" ht="14.25">
      <c r="A467" s="96" t="s">
        <v>286</v>
      </c>
      <c r="B467" s="568"/>
      <c r="C467" s="363">
        <f>C462+C463-C465</f>
        <v>0</v>
      </c>
      <c r="D467" s="364">
        <f>D462+D463-D465</f>
        <v>0</v>
      </c>
    </row>
    <row r="468" spans="1:4" ht="14.25">
      <c r="A468" s="96" t="s">
        <v>287</v>
      </c>
      <c r="B468" s="568"/>
      <c r="C468" s="363"/>
      <c r="D468" s="364"/>
    </row>
    <row r="469" spans="1:4" ht="14.25">
      <c r="A469" s="96" t="s">
        <v>288</v>
      </c>
      <c r="B469" s="568"/>
      <c r="C469" s="363"/>
      <c r="D469" s="364"/>
    </row>
    <row r="470" spans="1:4" ht="14.25">
      <c r="A470" s="96" t="s">
        <v>348</v>
      </c>
      <c r="B470" s="568"/>
      <c r="C470" s="363"/>
      <c r="D470" s="364"/>
    </row>
    <row r="471" spans="1:4" ht="14.25">
      <c r="A471" s="96" t="s">
        <v>289</v>
      </c>
      <c r="B471" s="568"/>
      <c r="C471" s="363">
        <f>C468+C469</f>
        <v>0</v>
      </c>
      <c r="D471" s="364">
        <f>D468+D469</f>
        <v>0</v>
      </c>
    </row>
    <row r="472" spans="1:4" ht="15.75" thickBot="1">
      <c r="A472" s="255" t="s">
        <v>290</v>
      </c>
      <c r="B472" s="569"/>
      <c r="C472" s="398">
        <f>C467-C471</f>
        <v>0</v>
      </c>
      <c r="D472" s="399">
        <f>D467-D471</f>
        <v>0</v>
      </c>
    </row>
    <row r="473" spans="1:4" ht="14.25">
      <c r="A473" s="359"/>
      <c r="B473" s="357"/>
      <c r="C473" s="358"/>
      <c r="D473" s="411"/>
    </row>
    <row r="474" spans="1:4" ht="14.25">
      <c r="A474" s="359"/>
      <c r="B474" s="357"/>
      <c r="C474" s="358"/>
      <c r="D474" s="386"/>
    </row>
    <row r="475" spans="1:4" s="274" customFormat="1" ht="15.75" thickBot="1">
      <c r="A475" s="213" t="s">
        <v>48</v>
      </c>
      <c r="B475" s="376"/>
      <c r="C475" s="376"/>
      <c r="D475" s="412"/>
    </row>
    <row r="476" spans="1:4" s="448" customFormat="1" ht="30">
      <c r="A476" s="442" t="s">
        <v>292</v>
      </c>
      <c r="B476" s="567"/>
      <c r="C476" s="443">
        <v>2002</v>
      </c>
      <c r="D476" s="444">
        <v>2001</v>
      </c>
    </row>
    <row r="477" spans="1:4" ht="14.25">
      <c r="A477" s="96" t="s">
        <v>285</v>
      </c>
      <c r="B477" s="568"/>
      <c r="C477" s="363"/>
      <c r="D477" s="364"/>
    </row>
    <row r="478" spans="1:4" ht="14.25">
      <c r="A478" s="96" t="s">
        <v>964</v>
      </c>
      <c r="B478" s="568"/>
      <c r="C478" s="363"/>
      <c r="D478" s="364"/>
    </row>
    <row r="479" spans="1:4" ht="14.25">
      <c r="A479" s="96" t="s">
        <v>348</v>
      </c>
      <c r="B479" s="568"/>
      <c r="C479" s="363"/>
      <c r="D479" s="364"/>
    </row>
    <row r="480" spans="1:4" ht="14.25">
      <c r="A480" s="96" t="s">
        <v>966</v>
      </c>
      <c r="B480" s="568"/>
      <c r="C480" s="363"/>
      <c r="D480" s="364"/>
    </row>
    <row r="481" spans="1:4" ht="14.25">
      <c r="A481" s="96" t="s">
        <v>348</v>
      </c>
      <c r="B481" s="568"/>
      <c r="C481" s="363"/>
      <c r="D481" s="364"/>
    </row>
    <row r="482" spans="1:4" ht="14.25">
      <c r="A482" s="96" t="s">
        <v>286</v>
      </c>
      <c r="B482" s="568"/>
      <c r="C482" s="363">
        <f>C477+C478-C480</f>
        <v>0</v>
      </c>
      <c r="D482" s="364">
        <f>D477+D478-D480</f>
        <v>0</v>
      </c>
    </row>
    <row r="483" spans="1:4" ht="14.25">
      <c r="A483" s="96" t="s">
        <v>287</v>
      </c>
      <c r="B483" s="568"/>
      <c r="C483" s="363"/>
      <c r="D483" s="364"/>
    </row>
    <row r="484" spans="1:4" ht="14.25">
      <c r="A484" s="96" t="s">
        <v>288</v>
      </c>
      <c r="B484" s="568"/>
      <c r="C484" s="363"/>
      <c r="D484" s="364"/>
    </row>
    <row r="485" spans="1:4" ht="14.25">
      <c r="A485" s="96" t="s">
        <v>348</v>
      </c>
      <c r="B485" s="568"/>
      <c r="C485" s="363"/>
      <c r="D485" s="364"/>
    </row>
    <row r="486" spans="1:4" ht="14.25">
      <c r="A486" s="96" t="s">
        <v>289</v>
      </c>
      <c r="B486" s="568"/>
      <c r="C486" s="363">
        <f>C483+C484</f>
        <v>0</v>
      </c>
      <c r="D486" s="364">
        <f>D483+D484</f>
        <v>0</v>
      </c>
    </row>
    <row r="487" spans="1:4" ht="15.75" thickBot="1">
      <c r="A487" s="255" t="s">
        <v>290</v>
      </c>
      <c r="B487" s="569"/>
      <c r="C487" s="398">
        <f>C482-C486</f>
        <v>0</v>
      </c>
      <c r="D487" s="399">
        <f>D482-D486</f>
        <v>0</v>
      </c>
    </row>
    <row r="488" spans="1:4" ht="14.25">
      <c r="A488" s="359"/>
      <c r="B488" s="357"/>
      <c r="C488" s="358"/>
      <c r="D488" s="411"/>
    </row>
    <row r="489" spans="1:4" ht="14.25">
      <c r="A489" s="359"/>
      <c r="B489" s="357"/>
      <c r="C489" s="358"/>
      <c r="D489" s="386"/>
    </row>
    <row r="490" spans="1:4" s="274" customFormat="1" ht="15.75" thickBot="1">
      <c r="A490" s="213" t="s">
        <v>39</v>
      </c>
      <c r="B490" s="376"/>
      <c r="C490" s="376"/>
      <c r="D490" s="400"/>
    </row>
    <row r="491" spans="1:4" s="448" customFormat="1" ht="30.75" thickBot="1">
      <c r="A491" s="579" t="s">
        <v>293</v>
      </c>
      <c r="B491" s="581"/>
      <c r="C491" s="449">
        <v>2002</v>
      </c>
      <c r="D491" s="450">
        <v>2001</v>
      </c>
    </row>
    <row r="492" spans="1:5" ht="14.25">
      <c r="A492" s="580" t="s">
        <v>402</v>
      </c>
      <c r="B492" s="587"/>
      <c r="C492" s="692">
        <f>D501-1000-1000-1697</f>
        <v>19057</v>
      </c>
      <c r="D492" s="693">
        <v>7358</v>
      </c>
      <c r="E492" s="476"/>
    </row>
    <row r="493" spans="1:4" ht="14.25">
      <c r="A493" s="96" t="s">
        <v>348</v>
      </c>
      <c r="B493" s="588"/>
      <c r="C493" s="694"/>
      <c r="D493" s="695"/>
    </row>
    <row r="494" spans="1:4" ht="14.25">
      <c r="A494" s="96" t="s">
        <v>964</v>
      </c>
      <c r="B494" s="588"/>
      <c r="C494" s="694">
        <f>SUM(C495:C496)</f>
        <v>6370</v>
      </c>
      <c r="D494" s="695">
        <f>SUM(D495:D497)</f>
        <v>26473</v>
      </c>
    </row>
    <row r="495" spans="1:4" ht="14.25">
      <c r="A495" s="96" t="s">
        <v>205</v>
      </c>
      <c r="B495" s="588"/>
      <c r="C495" s="694">
        <f>8564-2008-4300-766-200+4906</f>
        <v>6196</v>
      </c>
      <c r="D495" s="695">
        <v>26323</v>
      </c>
    </row>
    <row r="496" spans="1:4" ht="14.25">
      <c r="A496" s="96" t="s">
        <v>206</v>
      </c>
      <c r="B496" s="588"/>
      <c r="C496" s="694">
        <f>2455-2281</f>
        <v>174</v>
      </c>
      <c r="D496" s="695">
        <v>115</v>
      </c>
    </row>
    <row r="497" spans="1:4" ht="14.25">
      <c r="A497" s="96" t="s">
        <v>522</v>
      </c>
      <c r="B497" s="588"/>
      <c r="C497" s="694"/>
      <c r="D497" s="695">
        <v>35</v>
      </c>
    </row>
    <row r="498" spans="1:5" ht="14.25">
      <c r="A498" s="96" t="s">
        <v>966</v>
      </c>
      <c r="B498" s="588"/>
      <c r="C498" s="694">
        <f>SUM(C499:C500)</f>
        <v>12540</v>
      </c>
      <c r="D498" s="695">
        <f>SUM(D499:D500)</f>
        <v>11077</v>
      </c>
      <c r="E498" s="476"/>
    </row>
    <row r="499" spans="1:4" ht="14.25">
      <c r="A499" s="96" t="s">
        <v>205</v>
      </c>
      <c r="B499" s="588"/>
      <c r="C499" s="694">
        <f>13354+1-1461</f>
        <v>11894</v>
      </c>
      <c r="D499" s="695">
        <v>10987</v>
      </c>
    </row>
    <row r="500" spans="1:4" ht="14.25">
      <c r="A500" s="96" t="s">
        <v>206</v>
      </c>
      <c r="B500" s="588"/>
      <c r="C500" s="694">
        <v>646</v>
      </c>
      <c r="D500" s="695">
        <v>90</v>
      </c>
    </row>
    <row r="501" spans="1:4" ht="15">
      <c r="A501" s="96" t="s">
        <v>403</v>
      </c>
      <c r="B501" s="589"/>
      <c r="C501" s="696">
        <f>C492+C494-C498</f>
        <v>12887</v>
      </c>
      <c r="D501" s="697">
        <f>D492+D494-D498</f>
        <v>22754</v>
      </c>
    </row>
    <row r="502" spans="1:4" ht="15" thickBot="1">
      <c r="A502" s="257" t="s">
        <v>348</v>
      </c>
      <c r="B502" s="590"/>
      <c r="C502" s="698"/>
      <c r="D502" s="699"/>
    </row>
    <row r="503" spans="1:4" ht="12.75">
      <c r="A503" s="737" t="s">
        <v>411</v>
      </c>
      <c r="B503" s="737"/>
      <c r="C503" s="737"/>
      <c r="D503" s="737"/>
    </row>
    <row r="504" spans="1:4" ht="14.25">
      <c r="A504" s="359"/>
      <c r="B504" s="357"/>
      <c r="C504" s="483"/>
      <c r="D504" s="510"/>
    </row>
    <row r="505" spans="1:4" ht="15.75" thickBot="1">
      <c r="A505" s="406" t="s">
        <v>40</v>
      </c>
      <c r="B505" s="376"/>
      <c r="C505" s="376"/>
      <c r="D505" s="400"/>
    </row>
    <row r="506" spans="1:4" s="448" customFormat="1" ht="30">
      <c r="A506" s="579" t="s">
        <v>1218</v>
      </c>
      <c r="B506" s="581"/>
      <c r="C506" s="449">
        <v>2002</v>
      </c>
      <c r="D506" s="450">
        <v>2001</v>
      </c>
    </row>
    <row r="507" spans="1:4" ht="14.25">
      <c r="A507" s="96" t="s">
        <v>230</v>
      </c>
      <c r="B507" s="568"/>
      <c r="C507" s="363">
        <f>C338+C354+C362+C383</f>
        <v>12779</v>
      </c>
      <c r="D507" s="364">
        <f>D338+D354+D362+D378+D383</f>
        <v>22173</v>
      </c>
    </row>
    <row r="508" spans="1:4" s="274" customFormat="1" ht="14.25">
      <c r="A508" s="96" t="s">
        <v>231</v>
      </c>
      <c r="B508" s="568"/>
      <c r="C508" s="363"/>
      <c r="D508" s="364"/>
    </row>
    <row r="509" spans="1:4" ht="14.25">
      <c r="A509" s="96" t="s">
        <v>232</v>
      </c>
      <c r="B509" s="568"/>
      <c r="C509" s="363"/>
      <c r="D509" s="364"/>
    </row>
    <row r="510" spans="1:4" ht="14.25">
      <c r="A510" s="96" t="s">
        <v>233</v>
      </c>
      <c r="B510" s="568"/>
      <c r="C510" s="363"/>
      <c r="D510" s="364"/>
    </row>
    <row r="511" spans="1:4" ht="14.25">
      <c r="A511" s="96" t="s">
        <v>348</v>
      </c>
      <c r="B511" s="568"/>
      <c r="C511" s="363"/>
      <c r="D511" s="364"/>
    </row>
    <row r="512" spans="1:4" ht="14.25">
      <c r="A512" s="96" t="s">
        <v>234</v>
      </c>
      <c r="B512" s="568"/>
      <c r="C512" s="363"/>
      <c r="D512" s="364"/>
    </row>
    <row r="513" spans="1:4" ht="30.75" thickBot="1">
      <c r="A513" s="255" t="s">
        <v>1219</v>
      </c>
      <c r="B513" s="569"/>
      <c r="C513" s="425">
        <f>C507+C508</f>
        <v>12779</v>
      </c>
      <c r="D513" s="465">
        <f>D507+D508</f>
        <v>22173</v>
      </c>
    </row>
    <row r="514" spans="1:4" ht="14.25">
      <c r="A514" s="359"/>
      <c r="B514" s="482"/>
      <c r="C514" s="618"/>
      <c r="D514" s="681"/>
    </row>
    <row r="515" spans="1:4" ht="14.25">
      <c r="A515" s="359"/>
      <c r="B515" s="357"/>
      <c r="C515" s="358"/>
      <c r="D515" s="386"/>
    </row>
    <row r="516" spans="1:4" ht="15.75" thickBot="1">
      <c r="A516" s="406" t="s">
        <v>41</v>
      </c>
      <c r="B516" s="407"/>
      <c r="C516" s="407"/>
      <c r="D516" s="414"/>
    </row>
    <row r="517" spans="1:4" s="448" customFormat="1" ht="30">
      <c r="A517" s="442" t="s">
        <v>1220</v>
      </c>
      <c r="B517" s="567"/>
      <c r="C517" s="443">
        <v>2002</v>
      </c>
      <c r="D517" s="444">
        <v>2001</v>
      </c>
    </row>
    <row r="518" spans="1:4" ht="30">
      <c r="A518" s="252" t="s">
        <v>1221</v>
      </c>
      <c r="B518" s="588"/>
      <c r="C518" s="393">
        <f>C519+C523+C527</f>
        <v>0</v>
      </c>
      <c r="D518" s="419">
        <f>D519+D523+D527</f>
        <v>0</v>
      </c>
    </row>
    <row r="519" spans="1:4" ht="14.25">
      <c r="A519" s="96" t="s">
        <v>1222</v>
      </c>
      <c r="B519" s="588"/>
      <c r="C519" s="393"/>
      <c r="D519" s="419"/>
    </row>
    <row r="520" spans="1:4" s="274" customFormat="1" ht="14.25">
      <c r="A520" s="96" t="s">
        <v>1226</v>
      </c>
      <c r="B520" s="588"/>
      <c r="C520" s="393"/>
      <c r="D520" s="419"/>
    </row>
    <row r="521" spans="1:4" ht="14.25">
      <c r="A521" s="96" t="s">
        <v>1227</v>
      </c>
      <c r="B521" s="588"/>
      <c r="C521" s="393"/>
      <c r="D521" s="419"/>
    </row>
    <row r="522" spans="1:4" ht="14.25">
      <c r="A522" s="96" t="s">
        <v>1228</v>
      </c>
      <c r="B522" s="588"/>
      <c r="C522" s="393"/>
      <c r="D522" s="419"/>
    </row>
    <row r="523" spans="1:4" ht="14.25">
      <c r="A523" s="96" t="s">
        <v>1223</v>
      </c>
      <c r="B523" s="588"/>
      <c r="C523" s="393"/>
      <c r="D523" s="419"/>
    </row>
    <row r="524" spans="1:4" ht="14.25">
      <c r="A524" s="96" t="s">
        <v>1226</v>
      </c>
      <c r="B524" s="588"/>
      <c r="C524" s="393"/>
      <c r="D524" s="419"/>
    </row>
    <row r="525" spans="1:4" ht="14.25">
      <c r="A525" s="96" t="s">
        <v>1229</v>
      </c>
      <c r="B525" s="588"/>
      <c r="C525" s="393"/>
      <c r="D525" s="419"/>
    </row>
    <row r="526" spans="1:4" ht="14.25">
      <c r="A526" s="96" t="s">
        <v>1228</v>
      </c>
      <c r="B526" s="588"/>
      <c r="C526" s="393"/>
      <c r="D526" s="419"/>
    </row>
    <row r="527" spans="1:4" ht="14.25">
      <c r="A527" s="96" t="s">
        <v>1224</v>
      </c>
      <c r="B527" s="588"/>
      <c r="C527" s="393"/>
      <c r="D527" s="419"/>
    </row>
    <row r="528" spans="1:4" ht="14.25">
      <c r="A528" s="96" t="s">
        <v>1225</v>
      </c>
      <c r="B528" s="588"/>
      <c r="C528" s="393"/>
      <c r="D528" s="419"/>
    </row>
    <row r="529" spans="1:4" ht="14.25">
      <c r="A529" s="96" t="s">
        <v>1226</v>
      </c>
      <c r="B529" s="588"/>
      <c r="C529" s="393"/>
      <c r="D529" s="419"/>
    </row>
    <row r="530" spans="1:4" ht="14.25">
      <c r="A530" s="96" t="s">
        <v>1227</v>
      </c>
      <c r="B530" s="588"/>
      <c r="C530" s="393"/>
      <c r="D530" s="419"/>
    </row>
    <row r="531" spans="1:4" s="274" customFormat="1" ht="14.25">
      <c r="A531" s="96" t="s">
        <v>1228</v>
      </c>
      <c r="B531" s="588"/>
      <c r="C531" s="393"/>
      <c r="D531" s="419"/>
    </row>
    <row r="532" spans="1:4" ht="33.75" customHeight="1">
      <c r="A532" s="96" t="s">
        <v>348</v>
      </c>
      <c r="B532" s="588"/>
      <c r="C532" s="393"/>
      <c r="D532" s="419"/>
    </row>
    <row r="533" spans="1:4" ht="30">
      <c r="A533" s="252" t="s">
        <v>1230</v>
      </c>
      <c r="B533" s="591"/>
      <c r="C533" s="514">
        <f>C534+C538+C542</f>
        <v>0</v>
      </c>
      <c r="D533" s="558">
        <f>D534+D538+D542</f>
        <v>0</v>
      </c>
    </row>
    <row r="534" spans="1:4" ht="14.25">
      <c r="A534" s="96" t="s">
        <v>1222</v>
      </c>
      <c r="B534" s="588"/>
      <c r="C534" s="393"/>
      <c r="D534" s="419"/>
    </row>
    <row r="535" spans="1:4" ht="14.25">
      <c r="A535" s="96" t="s">
        <v>1226</v>
      </c>
      <c r="B535" s="588"/>
      <c r="C535" s="393"/>
      <c r="D535" s="419"/>
    </row>
    <row r="536" spans="1:4" ht="14.25">
      <c r="A536" s="96" t="s">
        <v>1227</v>
      </c>
      <c r="B536" s="588"/>
      <c r="C536" s="393"/>
      <c r="D536" s="419"/>
    </row>
    <row r="537" spans="1:4" ht="14.25">
      <c r="A537" s="96" t="s">
        <v>1228</v>
      </c>
      <c r="B537" s="588"/>
      <c r="C537" s="393"/>
      <c r="D537" s="419"/>
    </row>
    <row r="538" spans="1:4" ht="14.25">
      <c r="A538" s="96" t="s">
        <v>1223</v>
      </c>
      <c r="B538" s="588"/>
      <c r="C538" s="393"/>
      <c r="D538" s="419"/>
    </row>
    <row r="539" spans="1:4" ht="14.25">
      <c r="A539" s="96" t="s">
        <v>1226</v>
      </c>
      <c r="B539" s="588"/>
      <c r="C539" s="393"/>
      <c r="D539" s="419"/>
    </row>
    <row r="540" spans="1:4" ht="14.25">
      <c r="A540" s="96" t="s">
        <v>1227</v>
      </c>
      <c r="B540" s="588"/>
      <c r="C540" s="393"/>
      <c r="D540" s="419"/>
    </row>
    <row r="541" spans="1:4" ht="14.25">
      <c r="A541" s="96" t="s">
        <v>1228</v>
      </c>
      <c r="B541" s="588"/>
      <c r="C541" s="393"/>
      <c r="D541" s="419"/>
    </row>
    <row r="542" spans="1:4" ht="14.25">
      <c r="A542" s="96" t="s">
        <v>1224</v>
      </c>
      <c r="B542" s="588"/>
      <c r="C542" s="393"/>
      <c r="D542" s="419"/>
    </row>
    <row r="543" spans="1:4" ht="14.25">
      <c r="A543" s="96" t="s">
        <v>1225</v>
      </c>
      <c r="B543" s="588"/>
      <c r="C543" s="393"/>
      <c r="D543" s="419"/>
    </row>
    <row r="544" spans="1:4" ht="14.25">
      <c r="A544" s="96" t="s">
        <v>1226</v>
      </c>
      <c r="B544" s="588"/>
      <c r="C544" s="393"/>
      <c r="D544" s="419"/>
    </row>
    <row r="545" spans="1:4" ht="14.25">
      <c r="A545" s="96" t="s">
        <v>1227</v>
      </c>
      <c r="B545" s="588"/>
      <c r="C545" s="393"/>
      <c r="D545" s="419"/>
    </row>
    <row r="546" spans="1:4" ht="14.25">
      <c r="A546" s="96" t="s">
        <v>1228</v>
      </c>
      <c r="B546" s="588"/>
      <c r="C546" s="393"/>
      <c r="D546" s="419"/>
    </row>
    <row r="547" spans="1:4" ht="14.25">
      <c r="A547" s="96" t="s">
        <v>348</v>
      </c>
      <c r="B547" s="588"/>
      <c r="C547" s="393"/>
      <c r="D547" s="419"/>
    </row>
    <row r="548" spans="1:4" ht="30">
      <c r="A548" s="252" t="s">
        <v>1231</v>
      </c>
      <c r="B548" s="591"/>
      <c r="C548" s="514"/>
      <c r="D548" s="558"/>
    </row>
    <row r="549" spans="1:4" ht="14.25">
      <c r="A549" s="96" t="s">
        <v>1222</v>
      </c>
      <c r="B549" s="588"/>
      <c r="C549" s="393">
        <f>C552+C550</f>
        <v>12744</v>
      </c>
      <c r="D549" s="519">
        <f>D552+D550</f>
        <v>22718</v>
      </c>
    </row>
    <row r="550" spans="1:4" ht="14.25">
      <c r="A550" s="96" t="s">
        <v>1226</v>
      </c>
      <c r="B550" s="588"/>
      <c r="C550" s="393">
        <f>-3815</f>
        <v>-3815</v>
      </c>
      <c r="D550" s="419">
        <v>-656</v>
      </c>
    </row>
    <row r="551" spans="1:4" ht="14.25">
      <c r="A551" s="96" t="s">
        <v>1227</v>
      </c>
      <c r="B551" s="588"/>
      <c r="C551" s="393">
        <f>18440</f>
        <v>18440</v>
      </c>
      <c r="D551" s="419">
        <v>9821</v>
      </c>
    </row>
    <row r="552" spans="1:4" ht="14.25">
      <c r="A552" s="96" t="s">
        <v>1228</v>
      </c>
      <c r="B552" s="588"/>
      <c r="C552" s="393">
        <f>16559</f>
        <v>16559</v>
      </c>
      <c r="D552" s="419">
        <v>23374</v>
      </c>
    </row>
    <row r="553" spans="1:4" ht="14.25">
      <c r="A553" s="96" t="s">
        <v>1223</v>
      </c>
      <c r="B553" s="588"/>
      <c r="C553" s="393"/>
      <c r="D553" s="419"/>
    </row>
    <row r="554" spans="1:4" ht="14.25">
      <c r="A554" s="96" t="s">
        <v>1226</v>
      </c>
      <c r="B554" s="588"/>
      <c r="C554" s="393"/>
      <c r="D554" s="419"/>
    </row>
    <row r="555" spans="1:4" ht="14.25">
      <c r="A555" s="96" t="s">
        <v>1227</v>
      </c>
      <c r="B555" s="588"/>
      <c r="C555" s="393"/>
      <c r="D555" s="419"/>
    </row>
    <row r="556" spans="1:4" ht="14.25">
      <c r="A556" s="96" t="s">
        <v>1228</v>
      </c>
      <c r="B556" s="588"/>
      <c r="C556" s="393"/>
      <c r="D556" s="419"/>
    </row>
    <row r="557" spans="1:4" ht="14.25">
      <c r="A557" s="96" t="s">
        <v>1224</v>
      </c>
      <c r="B557" s="588"/>
      <c r="C557" s="419">
        <v>0</v>
      </c>
      <c r="D557" s="419">
        <v>0</v>
      </c>
    </row>
    <row r="558" spans="1:4" ht="14.25">
      <c r="A558" s="96" t="s">
        <v>348</v>
      </c>
      <c r="B558" s="588"/>
      <c r="C558" s="393"/>
      <c r="D558" s="419"/>
    </row>
    <row r="559" spans="1:4" ht="15">
      <c r="A559" s="252" t="s">
        <v>1232</v>
      </c>
      <c r="B559" s="588"/>
      <c r="C559" s="393">
        <f>C560+C564+C568</f>
        <v>0</v>
      </c>
      <c r="D559" s="419"/>
    </row>
    <row r="560" spans="1:4" ht="14.25">
      <c r="A560" s="96" t="s">
        <v>1233</v>
      </c>
      <c r="B560" s="588"/>
      <c r="C560" s="393">
        <f>SUM(C561:C563)</f>
        <v>0</v>
      </c>
      <c r="D560" s="419"/>
    </row>
    <row r="561" spans="1:4" ht="14.25">
      <c r="A561" s="96" t="s">
        <v>1226</v>
      </c>
      <c r="B561" s="588"/>
      <c r="C561" s="393"/>
      <c r="D561" s="419"/>
    </row>
    <row r="562" spans="1:4" ht="14.25">
      <c r="A562" s="96" t="s">
        <v>1227</v>
      </c>
      <c r="B562" s="588"/>
      <c r="C562" s="393"/>
      <c r="D562" s="419"/>
    </row>
    <row r="563" spans="1:4" ht="14.25">
      <c r="A563" s="96" t="s">
        <v>1228</v>
      </c>
      <c r="B563" s="588"/>
      <c r="C563" s="393"/>
      <c r="D563" s="419"/>
    </row>
    <row r="564" spans="1:4" ht="14.25">
      <c r="A564" s="96" t="s">
        <v>1223</v>
      </c>
      <c r="B564" s="588"/>
      <c r="C564" s="393"/>
      <c r="D564" s="419"/>
    </row>
    <row r="565" spans="1:4" ht="14.25">
      <c r="A565" s="96" t="s">
        <v>1226</v>
      </c>
      <c r="B565" s="588"/>
      <c r="C565" s="393"/>
      <c r="D565" s="419"/>
    </row>
    <row r="566" spans="1:4" ht="14.25">
      <c r="A566" s="96" t="s">
        <v>1227</v>
      </c>
      <c r="B566" s="588"/>
      <c r="C566" s="393"/>
      <c r="D566" s="419"/>
    </row>
    <row r="567" spans="1:4" ht="14.25">
      <c r="A567" s="96" t="s">
        <v>1228</v>
      </c>
      <c r="B567" s="588"/>
      <c r="C567" s="393"/>
      <c r="D567" s="419"/>
    </row>
    <row r="568" spans="1:4" ht="14.25">
      <c r="A568" s="96" t="s">
        <v>1224</v>
      </c>
      <c r="B568" s="588"/>
      <c r="C568" s="393"/>
      <c r="D568" s="419"/>
    </row>
    <row r="569" spans="1:4" ht="14.25">
      <c r="A569" s="96" t="s">
        <v>1225</v>
      </c>
      <c r="B569" s="588"/>
      <c r="C569" s="393"/>
      <c r="D569" s="419"/>
    </row>
    <row r="570" spans="1:4" ht="14.25">
      <c r="A570" s="96" t="s">
        <v>1226</v>
      </c>
      <c r="B570" s="588"/>
      <c r="C570" s="393"/>
      <c r="D570" s="419"/>
    </row>
    <row r="571" spans="1:4" ht="14.25">
      <c r="A571" s="96" t="s">
        <v>1227</v>
      </c>
      <c r="B571" s="588"/>
      <c r="C571" s="393"/>
      <c r="D571" s="419"/>
    </row>
    <row r="572" spans="1:4" ht="14.25">
      <c r="A572" s="96" t="s">
        <v>1228</v>
      </c>
      <c r="B572" s="588"/>
      <c r="C572" s="393"/>
      <c r="D572" s="419"/>
    </row>
    <row r="573" spans="1:4" ht="14.25">
      <c r="A573" s="96" t="s">
        <v>348</v>
      </c>
      <c r="B573" s="588"/>
      <c r="C573" s="393"/>
      <c r="D573" s="419"/>
    </row>
    <row r="574" spans="1:4" ht="14.25">
      <c r="A574" s="96" t="s">
        <v>1234</v>
      </c>
      <c r="B574" s="588"/>
      <c r="C574" s="393">
        <f>C522+C526+C531+C537+C541+C546+C557+C563+C567+C572+C552</f>
        <v>16559</v>
      </c>
      <c r="D574" s="419">
        <f>D522+D526+D531+D537+D541+D546+D556+D563+D567+D572+D552</f>
        <v>23374</v>
      </c>
    </row>
    <row r="575" spans="1:4" ht="14.25">
      <c r="A575" s="96" t="s">
        <v>1235</v>
      </c>
      <c r="B575" s="588"/>
      <c r="C575" s="393">
        <f>C521+C525+C530+C536+C540+C545+C551+C555+C562+C566+C571</f>
        <v>18440</v>
      </c>
      <c r="D575" s="419">
        <f>D521+D525+D530+D536+D540+D545+D551+D555+D562+D566+D571</f>
        <v>9821</v>
      </c>
    </row>
    <row r="576" spans="1:4" ht="14.25">
      <c r="A576" s="96" t="s">
        <v>1236</v>
      </c>
      <c r="B576" s="588"/>
      <c r="C576" s="393">
        <f>C520+C524+C529+C535+C539+C544+C550+C554+C561+C565+C570</f>
        <v>-3815</v>
      </c>
      <c r="D576" s="419">
        <f>D520+D524+D529+D535+D539+D544+D550+D554+D561+D565+D570</f>
        <v>-656</v>
      </c>
    </row>
    <row r="577" spans="1:5" ht="15.75" thickBot="1">
      <c r="A577" s="255" t="s">
        <v>1237</v>
      </c>
      <c r="B577" s="592"/>
      <c r="C577" s="425">
        <f>C549</f>
        <v>12744</v>
      </c>
      <c r="D577" s="425">
        <f>D549</f>
        <v>22718</v>
      </c>
      <c r="E577" s="544"/>
    </row>
    <row r="578" spans="1:4" ht="14.25">
      <c r="A578" s="359"/>
      <c r="B578" s="357"/>
      <c r="C578" s="680"/>
      <c r="D578" s="681"/>
    </row>
    <row r="579" spans="1:4" ht="14.25">
      <c r="A579" s="359"/>
      <c r="B579" s="357"/>
      <c r="D579" s="386"/>
    </row>
    <row r="580" spans="1:4" ht="15.75" thickBot="1">
      <c r="A580" s="213" t="s">
        <v>42</v>
      </c>
      <c r="B580" s="376"/>
      <c r="C580" s="376"/>
      <c r="D580" s="400"/>
    </row>
    <row r="581" spans="1:4" s="448" customFormat="1" ht="30">
      <c r="A581" s="442" t="s">
        <v>1238</v>
      </c>
      <c r="B581" s="567"/>
      <c r="C581" s="443">
        <v>2002</v>
      </c>
      <c r="D581" s="444">
        <v>2001</v>
      </c>
    </row>
    <row r="582" spans="1:4" ht="14.25">
      <c r="A582" s="96" t="s">
        <v>230</v>
      </c>
      <c r="B582" s="568"/>
      <c r="C582" s="363">
        <f>C342+C382</f>
        <v>108</v>
      </c>
      <c r="D582" s="364">
        <f>D382</f>
        <v>581</v>
      </c>
    </row>
    <row r="583" spans="1:4" ht="14.25">
      <c r="A583" s="96" t="s">
        <v>231</v>
      </c>
      <c r="B583" s="568"/>
      <c r="C583" s="363">
        <f>C585+C587</f>
        <v>0</v>
      </c>
      <c r="D583" s="364">
        <f>D585+D587</f>
        <v>0</v>
      </c>
    </row>
    <row r="584" spans="1:4" ht="14.25">
      <c r="A584" s="96" t="s">
        <v>232</v>
      </c>
      <c r="B584" s="568"/>
      <c r="C584" s="363"/>
      <c r="D584" s="364"/>
    </row>
    <row r="585" spans="1:4" ht="14.25">
      <c r="A585" s="96" t="s">
        <v>233</v>
      </c>
      <c r="B585" s="568"/>
      <c r="C585" s="363"/>
      <c r="D585" s="364"/>
    </row>
    <row r="586" spans="1:4" ht="14.25">
      <c r="A586" s="96" t="s">
        <v>348</v>
      </c>
      <c r="B586" s="568"/>
      <c r="C586" s="363"/>
      <c r="D586" s="364"/>
    </row>
    <row r="587" spans="1:4" ht="14.25">
      <c r="A587" s="96" t="s">
        <v>234</v>
      </c>
      <c r="B587" s="568"/>
      <c r="C587" s="363"/>
      <c r="D587" s="364"/>
    </row>
    <row r="588" spans="1:4" ht="15.75" thickBot="1">
      <c r="A588" s="255" t="s">
        <v>1239</v>
      </c>
      <c r="B588" s="592"/>
      <c r="C588" s="425">
        <f>C582+C583</f>
        <v>108</v>
      </c>
      <c r="D588" s="465">
        <f>D582+D583</f>
        <v>581</v>
      </c>
    </row>
    <row r="589" spans="1:4" ht="14.25">
      <c r="A589" s="359"/>
      <c r="B589" s="482"/>
      <c r="C589" s="680"/>
      <c r="D589" s="681"/>
    </row>
    <row r="590" spans="1:4" ht="14.25">
      <c r="A590" s="359"/>
      <c r="B590" s="357"/>
      <c r="C590" s="358"/>
      <c r="D590" s="386"/>
    </row>
    <row r="591" spans="1:4" ht="15.75" thickBot="1">
      <c r="A591" s="213" t="s">
        <v>43</v>
      </c>
      <c r="B591" s="376"/>
      <c r="C591" s="376"/>
      <c r="D591" s="400"/>
    </row>
    <row r="592" spans="1:4" s="448" customFormat="1" ht="15">
      <c r="A592" s="442" t="s">
        <v>1240</v>
      </c>
      <c r="B592" s="567"/>
      <c r="C592" s="443">
        <v>2002</v>
      </c>
      <c r="D592" s="444">
        <v>2001</v>
      </c>
    </row>
    <row r="593" spans="1:4" ht="14.25">
      <c r="A593" s="253" t="s">
        <v>523</v>
      </c>
      <c r="B593" s="594"/>
      <c r="C593" s="477">
        <v>761</v>
      </c>
      <c r="D593" s="478">
        <v>1708</v>
      </c>
    </row>
    <row r="594" spans="1:4" ht="15">
      <c r="A594" s="253" t="s">
        <v>524</v>
      </c>
      <c r="B594" s="595"/>
      <c r="C594" s="415"/>
      <c r="D594" s="478">
        <v>59</v>
      </c>
    </row>
    <row r="595" spans="1:4" s="274" customFormat="1" ht="15">
      <c r="A595" s="593"/>
      <c r="B595" s="595"/>
      <c r="C595" s="415"/>
      <c r="D595" s="416"/>
    </row>
    <row r="596" spans="1:4" ht="15">
      <c r="A596" s="593"/>
      <c r="B596" s="595"/>
      <c r="C596" s="415"/>
      <c r="D596" s="416"/>
    </row>
    <row r="597" spans="1:4" ht="14.25">
      <c r="A597" s="96"/>
      <c r="B597" s="560"/>
      <c r="C597" s="377"/>
      <c r="D597" s="381"/>
    </row>
    <row r="598" spans="1:4" ht="15.75" thickBot="1">
      <c r="A598" s="255" t="s">
        <v>1241</v>
      </c>
      <c r="B598" s="571"/>
      <c r="C598" s="403">
        <f>SUM(C593:C597)</f>
        <v>761</v>
      </c>
      <c r="D598" s="404">
        <f>SUM(D593:D597)</f>
        <v>1767</v>
      </c>
    </row>
    <row r="599" spans="1:4" ht="14.25">
      <c r="A599" s="359"/>
      <c r="B599" s="487"/>
      <c r="C599" s="682"/>
      <c r="D599" s="682"/>
    </row>
    <row r="600" spans="1:4" ht="14.25">
      <c r="A600" s="359"/>
      <c r="B600" s="357"/>
      <c r="C600" s="358"/>
      <c r="D600" s="386"/>
    </row>
    <row r="601" spans="1:4" ht="15.75" thickBot="1">
      <c r="A601" s="213" t="s">
        <v>44</v>
      </c>
      <c r="B601" s="376"/>
      <c r="C601" s="376"/>
      <c r="D601" s="400"/>
    </row>
    <row r="602" spans="1:4" s="448" customFormat="1" ht="30">
      <c r="A602" s="442" t="s">
        <v>1242</v>
      </c>
      <c r="B602" s="567"/>
      <c r="C602" s="443">
        <v>2002</v>
      </c>
      <c r="D602" s="444">
        <v>2001</v>
      </c>
    </row>
    <row r="603" spans="1:4" ht="14.25">
      <c r="A603" s="96" t="s">
        <v>402</v>
      </c>
      <c r="B603" s="568"/>
      <c r="C603" s="363">
        <f>SUM(C604:C605)</f>
        <v>1767</v>
      </c>
      <c r="D603" s="364">
        <f>SUM(D604:D605)</f>
        <v>4252</v>
      </c>
    </row>
    <row r="604" spans="1:4" ht="14.25">
      <c r="A604" s="96" t="s">
        <v>525</v>
      </c>
      <c r="B604" s="568"/>
      <c r="C604" s="363">
        <v>1708</v>
      </c>
      <c r="D604" s="364">
        <v>4193</v>
      </c>
    </row>
    <row r="605" spans="1:4" ht="14.25">
      <c r="A605" s="96" t="s">
        <v>522</v>
      </c>
      <c r="B605" s="568"/>
      <c r="C605" s="363">
        <v>59</v>
      </c>
      <c r="D605" s="364">
        <v>59</v>
      </c>
    </row>
    <row r="606" spans="1:4" ht="14.25">
      <c r="A606" s="96" t="s">
        <v>964</v>
      </c>
      <c r="B606" s="568"/>
      <c r="C606" s="363"/>
      <c r="D606" s="364"/>
    </row>
    <row r="607" spans="1:4" s="274" customFormat="1" ht="14.25">
      <c r="A607" s="96" t="s">
        <v>348</v>
      </c>
      <c r="B607" s="568"/>
      <c r="C607" s="363"/>
      <c r="D607" s="364"/>
    </row>
    <row r="608" spans="1:4" ht="14.25">
      <c r="A608" s="96" t="s">
        <v>966</v>
      </c>
      <c r="B608" s="568"/>
      <c r="C608" s="363">
        <f>SUM(C609:C610)</f>
        <v>1006</v>
      </c>
      <c r="D608" s="364">
        <f>D610</f>
        <v>2485</v>
      </c>
    </row>
    <row r="609" spans="1:4" ht="14.25">
      <c r="A609" s="96" t="s">
        <v>283</v>
      </c>
      <c r="B609" s="568"/>
      <c r="C609" s="363">
        <v>59</v>
      </c>
      <c r="D609" s="364"/>
    </row>
    <row r="610" spans="1:4" ht="14.25">
      <c r="A610" s="96" t="s">
        <v>204</v>
      </c>
      <c r="B610" s="568"/>
      <c r="C610" s="363">
        <v>947</v>
      </c>
      <c r="D610" s="364">
        <v>2485</v>
      </c>
    </row>
    <row r="611" spans="1:4" ht="15">
      <c r="A611" s="96" t="s">
        <v>403</v>
      </c>
      <c r="B611" s="576"/>
      <c r="C611" s="361">
        <f>C603+C606-C608</f>
        <v>761</v>
      </c>
      <c r="D611" s="362">
        <f>D603+D606-D608</f>
        <v>1767</v>
      </c>
    </row>
    <row r="612" spans="1:4" ht="15" thickBot="1">
      <c r="A612" s="257" t="s">
        <v>348</v>
      </c>
      <c r="B612" s="575"/>
      <c r="C612" s="395"/>
      <c r="D612" s="396"/>
    </row>
    <row r="613" spans="1:4" ht="14.25">
      <c r="A613" s="359"/>
      <c r="B613" s="487"/>
      <c r="C613" s="682"/>
      <c r="D613" s="682"/>
    </row>
    <row r="614" spans="1:4" ht="14.25">
      <c r="A614" s="359"/>
      <c r="B614" s="357"/>
      <c r="C614" s="358"/>
      <c r="D614" s="386"/>
    </row>
    <row r="615" spans="1:4" ht="15.75" thickBot="1">
      <c r="A615" s="213" t="s">
        <v>45</v>
      </c>
      <c r="B615" s="376"/>
      <c r="C615" s="376"/>
      <c r="D615" s="412"/>
    </row>
    <row r="616" spans="1:4" s="448" customFormat="1" ht="15">
      <c r="A616" s="442" t="s">
        <v>1243</v>
      </c>
      <c r="B616" s="567"/>
      <c r="C616" s="443">
        <v>2002</v>
      </c>
      <c r="D616" s="444">
        <v>2001</v>
      </c>
    </row>
    <row r="617" spans="1:4" ht="14.25">
      <c r="A617" s="96" t="s">
        <v>230</v>
      </c>
      <c r="B617" s="568"/>
      <c r="C617" s="363">
        <f>C611</f>
        <v>761</v>
      </c>
      <c r="D617" s="364">
        <f>D611</f>
        <v>1767</v>
      </c>
    </row>
    <row r="618" spans="1:4" s="274" customFormat="1" ht="14.25">
      <c r="A618" s="96" t="s">
        <v>231</v>
      </c>
      <c r="B618" s="568"/>
      <c r="C618" s="363">
        <f>C620+C622</f>
        <v>0</v>
      </c>
      <c r="D618" s="364">
        <f>D620+D622</f>
        <v>0</v>
      </c>
    </row>
    <row r="619" spans="1:4" ht="14.25">
      <c r="A619" s="96" t="s">
        <v>232</v>
      </c>
      <c r="B619" s="568"/>
      <c r="C619" s="363"/>
      <c r="D619" s="364"/>
    </row>
    <row r="620" spans="1:4" ht="14.25">
      <c r="A620" s="96" t="s">
        <v>233</v>
      </c>
      <c r="B620" s="568"/>
      <c r="C620" s="363"/>
      <c r="D620" s="364"/>
    </row>
    <row r="621" spans="1:4" ht="14.25">
      <c r="A621" s="96" t="s">
        <v>348</v>
      </c>
      <c r="B621" s="568"/>
      <c r="C621" s="363"/>
      <c r="D621" s="364"/>
    </row>
    <row r="622" spans="1:4" ht="14.25">
      <c r="A622" s="96" t="s">
        <v>234</v>
      </c>
      <c r="B622" s="568"/>
      <c r="C622" s="363"/>
      <c r="D622" s="364"/>
    </row>
    <row r="623" spans="1:4" ht="15.75" thickBot="1">
      <c r="A623" s="255" t="s">
        <v>1241</v>
      </c>
      <c r="B623" s="569"/>
      <c r="C623" s="398">
        <f>C617+C618</f>
        <v>761</v>
      </c>
      <c r="D623" s="399">
        <f>D617+D618</f>
        <v>1767</v>
      </c>
    </row>
    <row r="624" spans="1:4" ht="14.25">
      <c r="A624" s="359"/>
      <c r="B624" s="487"/>
      <c r="C624" s="682"/>
      <c r="D624" s="682"/>
    </row>
    <row r="625" spans="1:4" ht="15.75" thickBot="1">
      <c r="A625" s="213" t="s">
        <v>49</v>
      </c>
      <c r="B625" s="376"/>
      <c r="C625" s="376"/>
      <c r="D625" s="412"/>
    </row>
    <row r="626" spans="1:4" s="448" customFormat="1" ht="30">
      <c r="A626" s="442" t="s">
        <v>1245</v>
      </c>
      <c r="B626" s="567"/>
      <c r="C626" s="443">
        <v>2002</v>
      </c>
      <c r="D626" s="444">
        <v>2001</v>
      </c>
    </row>
    <row r="627" spans="1:4" ht="28.5">
      <c r="A627" s="96" t="s">
        <v>1246</v>
      </c>
      <c r="B627" s="573"/>
      <c r="C627" s="366">
        <f>C628+C630+C632</f>
        <v>394</v>
      </c>
      <c r="D627" s="367">
        <f>D628+D630+D632</f>
        <v>280</v>
      </c>
    </row>
    <row r="628" spans="1:4" ht="14.25">
      <c r="A628" s="96" t="s">
        <v>1247</v>
      </c>
      <c r="B628" s="568"/>
      <c r="C628" s="363">
        <f>95+299</f>
        <v>394</v>
      </c>
      <c r="D628" s="364">
        <f>0+280</f>
        <v>280</v>
      </c>
    </row>
    <row r="629" spans="1:4" ht="14.25">
      <c r="A629" s="96" t="s">
        <v>348</v>
      </c>
      <c r="B629" s="568"/>
      <c r="C629" s="363"/>
      <c r="D629" s="364"/>
    </row>
    <row r="630" spans="1:4" s="274" customFormat="1" ht="14.25">
      <c r="A630" s="96" t="s">
        <v>1248</v>
      </c>
      <c r="B630" s="568"/>
      <c r="C630" s="363"/>
      <c r="D630" s="364"/>
    </row>
    <row r="631" spans="1:4" ht="14.25">
      <c r="A631" s="96" t="s">
        <v>348</v>
      </c>
      <c r="B631" s="568"/>
      <c r="C631" s="363"/>
      <c r="D631" s="364"/>
    </row>
    <row r="632" spans="1:4" ht="14.25">
      <c r="A632" s="96" t="s">
        <v>1249</v>
      </c>
      <c r="B632" s="568"/>
      <c r="C632" s="363"/>
      <c r="D632" s="364"/>
    </row>
    <row r="633" spans="1:4" ht="14.25">
      <c r="A633" s="96" t="s">
        <v>348</v>
      </c>
      <c r="B633" s="568"/>
      <c r="C633" s="363"/>
      <c r="D633" s="364"/>
    </row>
    <row r="634" spans="1:4" ht="14.25">
      <c r="A634" s="96" t="s">
        <v>1250</v>
      </c>
      <c r="B634" s="568"/>
      <c r="C634" s="363">
        <f>C635+C637+C639+C641+C643</f>
        <v>2078</v>
      </c>
      <c r="D634" s="364">
        <f>D635+D637+D639+D641+D643</f>
        <v>394</v>
      </c>
    </row>
    <row r="635" spans="1:4" ht="28.5">
      <c r="A635" s="96" t="s">
        <v>1251</v>
      </c>
      <c r="B635" s="573"/>
      <c r="C635" s="366">
        <f>C636</f>
        <v>1471</v>
      </c>
      <c r="D635" s="367">
        <f>95+299</f>
        <v>394</v>
      </c>
    </row>
    <row r="636" spans="1:4" ht="14.25">
      <c r="A636" s="96" t="s">
        <v>1107</v>
      </c>
      <c r="B636" s="568"/>
      <c r="C636" s="363">
        <f>54+1417</f>
        <v>1471</v>
      </c>
      <c r="D636" s="364"/>
    </row>
    <row r="637" spans="1:4" ht="28.5">
      <c r="A637" s="96" t="s">
        <v>1252</v>
      </c>
      <c r="B637" s="568"/>
      <c r="C637" s="363">
        <v>607</v>
      </c>
      <c r="D637" s="364"/>
    </row>
    <row r="638" spans="1:4" ht="14.25">
      <c r="A638" s="96" t="s">
        <v>348</v>
      </c>
      <c r="B638" s="568"/>
      <c r="C638" s="363"/>
      <c r="D638" s="364"/>
    </row>
    <row r="639" spans="1:4" ht="28.5">
      <c r="A639" s="96" t="s">
        <v>1253</v>
      </c>
      <c r="B639" s="568"/>
      <c r="C639" s="363"/>
      <c r="D639" s="364"/>
    </row>
    <row r="640" spans="1:4" s="274" customFormat="1" ht="14.25">
      <c r="A640" s="96" t="s">
        <v>348</v>
      </c>
      <c r="B640" s="568"/>
      <c r="C640" s="363"/>
      <c r="D640" s="364"/>
    </row>
    <row r="641" spans="1:4" ht="14.25">
      <c r="A641" s="96" t="s">
        <v>1254</v>
      </c>
      <c r="B641" s="568"/>
      <c r="C641" s="363"/>
      <c r="D641" s="364"/>
    </row>
    <row r="642" spans="1:4" ht="14.25">
      <c r="A642" s="96" t="s">
        <v>348</v>
      </c>
      <c r="B642" s="568"/>
      <c r="C642" s="363"/>
      <c r="D642" s="364"/>
    </row>
    <row r="643" spans="1:4" ht="28.5">
      <c r="A643" s="96" t="s">
        <v>1255</v>
      </c>
      <c r="B643" s="573"/>
      <c r="C643" s="366"/>
      <c r="D643" s="367"/>
    </row>
    <row r="644" spans="1:4" ht="14.25">
      <c r="A644" s="96" t="s">
        <v>348</v>
      </c>
      <c r="B644" s="568"/>
      <c r="C644" s="363"/>
      <c r="D644" s="364"/>
    </row>
    <row r="645" spans="1:4" ht="14.25">
      <c r="A645" s="96" t="s">
        <v>1256</v>
      </c>
      <c r="B645" s="577"/>
      <c r="C645" s="408">
        <f>C646+C648+C650+C652+C654</f>
        <v>341</v>
      </c>
      <c r="D645" s="378">
        <f>D646+D648+D650+D652+D654</f>
        <v>280</v>
      </c>
    </row>
    <row r="646" spans="1:4" ht="28.5">
      <c r="A646" s="96" t="s">
        <v>1251</v>
      </c>
      <c r="B646" s="570"/>
      <c r="C646" s="401">
        <f>95+246</f>
        <v>341</v>
      </c>
      <c r="D646" s="402">
        <f>280</f>
        <v>280</v>
      </c>
    </row>
    <row r="647" spans="1:4" ht="14.25">
      <c r="A647" s="96" t="s">
        <v>954</v>
      </c>
      <c r="B647" s="577"/>
      <c r="C647" s="408"/>
      <c r="D647" s="378"/>
    </row>
    <row r="648" spans="1:4" ht="28.5">
      <c r="A648" s="96" t="s">
        <v>1252</v>
      </c>
      <c r="B648" s="577"/>
      <c r="C648" s="408"/>
      <c r="D648" s="378"/>
    </row>
    <row r="649" spans="1:4" ht="14.25">
      <c r="A649" s="96" t="s">
        <v>348</v>
      </c>
      <c r="B649" s="577"/>
      <c r="C649" s="408"/>
      <c r="D649" s="378"/>
    </row>
    <row r="650" spans="1:4" ht="28.5">
      <c r="A650" s="96" t="s">
        <v>1253</v>
      </c>
      <c r="B650" s="577"/>
      <c r="C650" s="408"/>
      <c r="D650" s="378"/>
    </row>
    <row r="651" spans="1:4" ht="14.25">
      <c r="A651" s="96" t="s">
        <v>348</v>
      </c>
      <c r="B651" s="577"/>
      <c r="C651" s="408"/>
      <c r="D651" s="378"/>
    </row>
    <row r="652" spans="1:4" ht="14.25">
      <c r="A652" s="96" t="s">
        <v>1254</v>
      </c>
      <c r="B652" s="577"/>
      <c r="C652" s="408"/>
      <c r="D652" s="378"/>
    </row>
    <row r="653" spans="1:4" ht="14.25">
      <c r="A653" s="96" t="s">
        <v>348</v>
      </c>
      <c r="B653" s="577"/>
      <c r="C653" s="408"/>
      <c r="D653" s="378"/>
    </row>
    <row r="654" spans="1:4" ht="28.5">
      <c r="A654" s="96" t="s">
        <v>1255</v>
      </c>
      <c r="B654" s="570"/>
      <c r="C654" s="401"/>
      <c r="D654" s="402"/>
    </row>
    <row r="655" spans="1:4" ht="14.25">
      <c r="A655" s="96" t="s">
        <v>348</v>
      </c>
      <c r="B655" s="577"/>
      <c r="C655" s="408"/>
      <c r="D655" s="378"/>
    </row>
    <row r="656" spans="1:4" ht="28.5">
      <c r="A656" s="96" t="s">
        <v>1257</v>
      </c>
      <c r="B656" s="596"/>
      <c r="C656" s="466">
        <f>C627+C634-C645</f>
        <v>2131</v>
      </c>
      <c r="D656" s="467">
        <f>D627+D634-D645</f>
        <v>394</v>
      </c>
    </row>
    <row r="657" spans="1:4" ht="14.25">
      <c r="A657" s="96" t="s">
        <v>1247</v>
      </c>
      <c r="B657" s="597"/>
      <c r="C657" s="423">
        <f>C628+C635+C637-C646-C648</f>
        <v>2131</v>
      </c>
      <c r="D657" s="468">
        <f>D628+D635+D637-D646-D648</f>
        <v>394</v>
      </c>
    </row>
    <row r="658" spans="1:4" ht="14.25">
      <c r="A658" s="96" t="s">
        <v>348</v>
      </c>
      <c r="B658" s="577"/>
      <c r="C658" s="408"/>
      <c r="D658" s="378"/>
    </row>
    <row r="659" spans="1:4" ht="14.25">
      <c r="A659" s="96" t="s">
        <v>1248</v>
      </c>
      <c r="B659" s="577"/>
      <c r="C659" s="408">
        <f>C630+C639+C641-C650-C652</f>
        <v>0</v>
      </c>
      <c r="D659" s="378">
        <f>D630+D639+D641-D650-D652</f>
        <v>0</v>
      </c>
    </row>
    <row r="660" spans="1:4" ht="14.25">
      <c r="A660" s="96" t="s">
        <v>348</v>
      </c>
      <c r="B660" s="577"/>
      <c r="C660" s="408"/>
      <c r="D660" s="378"/>
    </row>
    <row r="661" spans="1:4" ht="14.25">
      <c r="A661" s="96" t="s">
        <v>1249</v>
      </c>
      <c r="B661" s="577"/>
      <c r="C661" s="408">
        <f>C632+C643-C654</f>
        <v>0</v>
      </c>
      <c r="D661" s="378">
        <f>D632+D643-D654</f>
        <v>0</v>
      </c>
    </row>
    <row r="662" spans="1:4" ht="15" thickBot="1">
      <c r="A662" s="257" t="s">
        <v>348</v>
      </c>
      <c r="B662" s="598"/>
      <c r="C662" s="417"/>
      <c r="D662" s="383"/>
    </row>
    <row r="663" spans="1:4" ht="14.25">
      <c r="A663" s="359"/>
      <c r="B663" s="487"/>
      <c r="C663" s="684"/>
      <c r="D663" s="681"/>
    </row>
    <row r="664" spans="1:4" ht="14.25">
      <c r="A664" s="359"/>
      <c r="B664" s="357"/>
      <c r="C664" s="358"/>
      <c r="D664" s="386"/>
    </row>
    <row r="665" spans="1:4" ht="15.75" thickBot="1">
      <c r="A665" s="213" t="s">
        <v>50</v>
      </c>
      <c r="B665" s="376"/>
      <c r="C665" s="376"/>
      <c r="D665" s="412"/>
    </row>
    <row r="666" spans="1:4" s="448" customFormat="1" ht="15">
      <c r="A666" s="442" t="s">
        <v>1259</v>
      </c>
      <c r="B666" s="567"/>
      <c r="C666" s="443">
        <v>2002</v>
      </c>
      <c r="D666" s="444">
        <v>2001</v>
      </c>
    </row>
    <row r="667" spans="1:4" ht="14.25">
      <c r="A667" s="583" t="s">
        <v>1260</v>
      </c>
      <c r="B667" s="601"/>
      <c r="C667" s="602">
        <f>SUM(C668:C669)</f>
        <v>53</v>
      </c>
      <c r="D667" s="603">
        <f>D668</f>
        <v>4</v>
      </c>
    </row>
    <row r="668" spans="1:4" ht="28.5">
      <c r="A668" s="253" t="s">
        <v>545</v>
      </c>
      <c r="B668" s="577"/>
      <c r="C668" s="408">
        <f>21+3</f>
        <v>24</v>
      </c>
      <c r="D668" s="378">
        <v>4</v>
      </c>
    </row>
    <row r="669" spans="1:4" ht="14.25">
      <c r="A669" s="253" t="s">
        <v>1176</v>
      </c>
      <c r="B669" s="616"/>
      <c r="C669" s="617">
        <v>29</v>
      </c>
      <c r="D669" s="485"/>
    </row>
    <row r="670" spans="1:4" ht="15.75" thickBot="1">
      <c r="A670" s="255" t="s">
        <v>1262</v>
      </c>
      <c r="B670" s="599"/>
      <c r="C670" s="463">
        <f>C667</f>
        <v>53</v>
      </c>
      <c r="D670" s="464">
        <f>D667</f>
        <v>4</v>
      </c>
    </row>
    <row r="671" spans="1:4" ht="14.25">
      <c r="A671" s="359"/>
      <c r="B671" s="600"/>
      <c r="C671" s="682"/>
      <c r="D671" s="682"/>
    </row>
    <row r="672" spans="1:4" ht="14.25">
      <c r="A672" s="359"/>
      <c r="B672" s="357"/>
      <c r="C672" s="358"/>
      <c r="D672" s="386"/>
    </row>
    <row r="673" spans="1:4" ht="15.75" thickBot="1">
      <c r="A673" s="213" t="s">
        <v>51</v>
      </c>
      <c r="B673" s="376"/>
      <c r="C673" s="376"/>
      <c r="D673" s="412"/>
    </row>
    <row r="674" spans="1:4" s="448" customFormat="1" ht="15">
      <c r="A674" s="442" t="s">
        <v>1263</v>
      </c>
      <c r="B674" s="567"/>
      <c r="C674" s="443">
        <v>2002</v>
      </c>
      <c r="D674" s="444">
        <v>2001</v>
      </c>
    </row>
    <row r="675" spans="1:4" ht="14.25">
      <c r="A675" s="96" t="s">
        <v>1264</v>
      </c>
      <c r="B675" s="577"/>
      <c r="C675" s="408">
        <v>143</v>
      </c>
      <c r="D675" s="378">
        <v>352</v>
      </c>
    </row>
    <row r="676" spans="1:4" ht="14.25">
      <c r="A676" s="96" t="s">
        <v>1265</v>
      </c>
      <c r="B676" s="577"/>
      <c r="C676" s="408"/>
      <c r="D676" s="378"/>
    </row>
    <row r="677" spans="1:4" ht="14.25">
      <c r="A677" s="96" t="s">
        <v>1266</v>
      </c>
      <c r="B677" s="577"/>
      <c r="C677" s="408"/>
      <c r="D677" s="378"/>
    </row>
    <row r="678" spans="1:4" ht="14.25">
      <c r="A678" s="96" t="s">
        <v>1267</v>
      </c>
      <c r="B678" s="577"/>
      <c r="C678" s="408">
        <f>100+252</f>
        <v>352</v>
      </c>
      <c r="D678" s="378">
        <v>416</v>
      </c>
    </row>
    <row r="679" spans="1:4" s="274" customFormat="1" ht="14.25">
      <c r="A679" s="96" t="s">
        <v>1268</v>
      </c>
      <c r="B679" s="577"/>
      <c r="C679" s="408">
        <f>2+9</f>
        <v>11</v>
      </c>
      <c r="D679" s="378"/>
    </row>
    <row r="680" spans="1:4" ht="15.75" thickBot="1">
      <c r="A680" s="255" t="s">
        <v>1269</v>
      </c>
      <c r="B680" s="599"/>
      <c r="C680" s="463">
        <f>SUM(C675:C679)</f>
        <v>506</v>
      </c>
      <c r="D680" s="464">
        <f>SUM(D675:D679)</f>
        <v>768</v>
      </c>
    </row>
    <row r="681" spans="1:4" ht="14.25">
      <c r="A681" s="359"/>
      <c r="B681" s="487"/>
      <c r="C681" s="682"/>
      <c r="D681" s="682"/>
    </row>
    <row r="682" spans="1:4" ht="14.25">
      <c r="A682" s="359"/>
      <c r="B682" s="357"/>
      <c r="C682" s="358"/>
      <c r="D682" s="386"/>
    </row>
    <row r="683" spans="1:4" ht="15.75" thickBot="1">
      <c r="A683" s="213" t="s">
        <v>52</v>
      </c>
      <c r="B683" s="376"/>
      <c r="C683" s="407"/>
      <c r="D683" s="418"/>
    </row>
    <row r="684" spans="1:4" s="448" customFormat="1" ht="15">
      <c r="A684" s="442" t="s">
        <v>499</v>
      </c>
      <c r="B684" s="567"/>
      <c r="C684" s="443">
        <v>2002</v>
      </c>
      <c r="D684" s="444">
        <v>2001</v>
      </c>
    </row>
    <row r="685" spans="1:4" ht="14.25">
      <c r="A685" s="96" t="s">
        <v>500</v>
      </c>
      <c r="B685" s="568"/>
      <c r="C685" s="363">
        <f>C686+C689+C690</f>
        <v>20</v>
      </c>
      <c r="D685" s="364">
        <f>D686+D689+D690</f>
        <v>23</v>
      </c>
    </row>
    <row r="686" spans="1:4" ht="14.25">
      <c r="A686" s="96" t="s">
        <v>501</v>
      </c>
      <c r="B686" s="568"/>
      <c r="C686" s="363">
        <f>C687+C688</f>
        <v>20</v>
      </c>
      <c r="D686" s="364">
        <f>D687+D688</f>
        <v>23</v>
      </c>
    </row>
    <row r="687" spans="1:4" ht="14.25">
      <c r="A687" s="96" t="s">
        <v>502</v>
      </c>
      <c r="B687" s="568"/>
      <c r="C687" s="363">
        <f>11+10-1</f>
        <v>20</v>
      </c>
      <c r="D687" s="364">
        <f>174-151</f>
        <v>23</v>
      </c>
    </row>
    <row r="688" spans="1:4" s="274" customFormat="1" ht="14.25">
      <c r="A688" s="96" t="s">
        <v>503</v>
      </c>
      <c r="B688" s="568"/>
      <c r="C688" s="363"/>
      <c r="D688" s="364"/>
    </row>
    <row r="689" spans="1:4" ht="14.25">
      <c r="A689" s="96" t="s">
        <v>508</v>
      </c>
      <c r="B689" s="568"/>
      <c r="C689" s="363"/>
      <c r="D689" s="364"/>
    </row>
    <row r="690" spans="1:4" ht="14.25">
      <c r="A690" s="96" t="s">
        <v>509</v>
      </c>
      <c r="B690" s="568"/>
      <c r="C690" s="363"/>
      <c r="D690" s="364"/>
    </row>
    <row r="691" spans="1:4" ht="14.25">
      <c r="A691" s="96" t="s">
        <v>504</v>
      </c>
      <c r="B691" s="568"/>
      <c r="C691" s="363">
        <f>C692+C695+C696+C697</f>
        <v>10199</v>
      </c>
      <c r="D691" s="364">
        <f>D692+D695+D696+D697</f>
        <v>22904</v>
      </c>
    </row>
    <row r="692" spans="1:4" ht="14.25">
      <c r="A692" s="96" t="s">
        <v>501</v>
      </c>
      <c r="B692" s="568"/>
      <c r="C692" s="363">
        <f>C693+C694</f>
        <v>9654</v>
      </c>
      <c r="D692" s="364">
        <f>D693+D694</f>
        <v>22374</v>
      </c>
    </row>
    <row r="693" spans="1:4" ht="14.25">
      <c r="A693" s="96" t="s">
        <v>502</v>
      </c>
      <c r="B693" s="568"/>
      <c r="C693" s="363">
        <f>10+482+1446+7642</f>
        <v>9580</v>
      </c>
      <c r="D693" s="364">
        <f>22318+16</f>
        <v>22334</v>
      </c>
    </row>
    <row r="694" spans="1:4" ht="14.25">
      <c r="A694" s="96" t="s">
        <v>503</v>
      </c>
      <c r="B694" s="568"/>
      <c r="C694" s="363">
        <v>74</v>
      </c>
      <c r="D694" s="364">
        <v>40</v>
      </c>
    </row>
    <row r="695" spans="1:4" ht="28.5">
      <c r="A695" s="96" t="s">
        <v>505</v>
      </c>
      <c r="B695" s="568"/>
      <c r="C695" s="363">
        <f>356+92+3+12</f>
        <v>463</v>
      </c>
      <c r="D695" s="364">
        <f>363+79</f>
        <v>442</v>
      </c>
    </row>
    <row r="696" spans="1:4" ht="14.25">
      <c r="A696" s="96" t="s">
        <v>508</v>
      </c>
      <c r="B696" s="568"/>
      <c r="C696" s="363">
        <f>14+13+15+40</f>
        <v>82</v>
      </c>
      <c r="D696" s="364">
        <f>40+48</f>
        <v>88</v>
      </c>
    </row>
    <row r="697" spans="1:4" ht="14.25">
      <c r="A697" s="96" t="s">
        <v>509</v>
      </c>
      <c r="B697" s="568"/>
      <c r="C697" s="363"/>
      <c r="D697" s="364"/>
    </row>
    <row r="698" spans="1:4" s="274" customFormat="1" ht="14.25">
      <c r="A698" s="96" t="s">
        <v>506</v>
      </c>
      <c r="B698" s="568"/>
      <c r="C698" s="363">
        <f>C691+C685</f>
        <v>10219</v>
      </c>
      <c r="D698" s="364">
        <f>D691+D685</f>
        <v>22927</v>
      </c>
    </row>
    <row r="699" spans="1:4" ht="14.25">
      <c r="A699" s="96" t="s">
        <v>1044</v>
      </c>
      <c r="B699" s="568"/>
      <c r="C699" s="363">
        <f>5+1486+153</f>
        <v>1644</v>
      </c>
      <c r="D699" s="364">
        <f>1338+191</f>
        <v>1529</v>
      </c>
    </row>
    <row r="700" spans="1:4" ht="15.75" thickBot="1">
      <c r="A700" s="255" t="s">
        <v>507</v>
      </c>
      <c r="B700" s="569"/>
      <c r="C700" s="425">
        <f>C698+C699</f>
        <v>11863</v>
      </c>
      <c r="D700" s="465">
        <f>D698+D699</f>
        <v>24456</v>
      </c>
    </row>
    <row r="701" spans="1:4" ht="14.25">
      <c r="A701" s="359"/>
      <c r="B701" s="487"/>
      <c r="C701" s="618"/>
      <c r="D701" s="681"/>
    </row>
    <row r="702" spans="1:4" ht="14.25">
      <c r="A702" s="359"/>
      <c r="B702" s="357"/>
      <c r="C702" s="357"/>
      <c r="D702" s="357"/>
    </row>
    <row r="703" spans="1:4" ht="15.75" thickBot="1">
      <c r="A703" s="406" t="s">
        <v>53</v>
      </c>
      <c r="B703" s="376"/>
      <c r="C703" s="376"/>
      <c r="D703" s="412"/>
    </row>
    <row r="704" spans="1:4" s="448" customFormat="1" ht="30">
      <c r="A704" s="442" t="s">
        <v>510</v>
      </c>
      <c r="B704" s="567"/>
      <c r="C704" s="443">
        <v>2002</v>
      </c>
      <c r="D704" s="444">
        <v>2001</v>
      </c>
    </row>
    <row r="705" spans="1:4" ht="14.25">
      <c r="A705" s="96" t="s">
        <v>511</v>
      </c>
      <c r="B705" s="568"/>
      <c r="C705" s="363">
        <f>SUM(C706:C710)</f>
        <v>20</v>
      </c>
      <c r="D705" s="364">
        <f>SUM(D706:D710)</f>
        <v>22</v>
      </c>
    </row>
    <row r="706" spans="1:4" ht="14.25">
      <c r="A706" s="96" t="s">
        <v>1097</v>
      </c>
      <c r="B706" s="568"/>
      <c r="C706" s="363">
        <f>6+10</f>
        <v>16</v>
      </c>
      <c r="D706" s="364">
        <f>161-151</f>
        <v>10</v>
      </c>
    </row>
    <row r="707" spans="1:4" ht="14.25">
      <c r="A707" s="96" t="s">
        <v>1098</v>
      </c>
      <c r="B707" s="568"/>
      <c r="C707" s="363"/>
      <c r="D707" s="364"/>
    </row>
    <row r="708" spans="1:4" ht="14.25">
      <c r="A708" s="96" t="s">
        <v>1099</v>
      </c>
      <c r="B708" s="568"/>
      <c r="C708" s="363"/>
      <c r="D708" s="364">
        <v>12</v>
      </c>
    </row>
    <row r="709" spans="1:4" ht="14.25">
      <c r="A709" s="96" t="s">
        <v>1100</v>
      </c>
      <c r="B709" s="568"/>
      <c r="C709" s="363"/>
      <c r="D709" s="364"/>
    </row>
    <row r="710" spans="1:4" ht="14.25">
      <c r="A710" s="96" t="s">
        <v>1101</v>
      </c>
      <c r="B710" s="568"/>
      <c r="C710" s="363">
        <f>5-1</f>
        <v>4</v>
      </c>
      <c r="D710" s="364"/>
    </row>
    <row r="711" spans="1:4" ht="14.25">
      <c r="A711" s="96" t="s">
        <v>512</v>
      </c>
      <c r="B711" s="568"/>
      <c r="C711" s="363">
        <f>SUM(C712:C716)</f>
        <v>0</v>
      </c>
      <c r="D711" s="364">
        <f>SUM(D712:D716)</f>
        <v>0</v>
      </c>
    </row>
    <row r="712" spans="1:4" ht="14.25">
      <c r="A712" s="96" t="s">
        <v>1097</v>
      </c>
      <c r="B712" s="568"/>
      <c r="C712" s="363"/>
      <c r="D712" s="364"/>
    </row>
    <row r="713" spans="1:4" ht="14.25">
      <c r="A713" s="96" t="s">
        <v>1098</v>
      </c>
      <c r="B713" s="568"/>
      <c r="C713" s="363"/>
      <c r="D713" s="364"/>
    </row>
    <row r="714" spans="1:4" ht="14.25">
      <c r="A714" s="96" t="s">
        <v>1099</v>
      </c>
      <c r="B714" s="568"/>
      <c r="C714" s="363"/>
      <c r="D714" s="364"/>
    </row>
    <row r="715" spans="1:4" ht="14.25">
      <c r="A715" s="96" t="s">
        <v>1100</v>
      </c>
      <c r="B715" s="568"/>
      <c r="C715" s="363"/>
      <c r="D715" s="364"/>
    </row>
    <row r="716" spans="1:4" ht="14.25">
      <c r="A716" s="96" t="s">
        <v>1101</v>
      </c>
      <c r="B716" s="568"/>
      <c r="C716" s="363"/>
      <c r="D716" s="364"/>
    </row>
    <row r="717" spans="1:4" ht="14.25">
      <c r="A717" s="96" t="s">
        <v>1093</v>
      </c>
      <c r="B717" s="568"/>
      <c r="C717" s="363">
        <f>SUM(C718:C722)</f>
        <v>0</v>
      </c>
      <c r="D717" s="364">
        <f>SUM(D718:D722)</f>
        <v>0</v>
      </c>
    </row>
    <row r="718" spans="1:4" s="274" customFormat="1" ht="14.25">
      <c r="A718" s="96" t="s">
        <v>1097</v>
      </c>
      <c r="B718" s="568"/>
      <c r="C718" s="363"/>
      <c r="D718" s="364"/>
    </row>
    <row r="719" spans="1:4" ht="14.25">
      <c r="A719" s="96" t="s">
        <v>1098</v>
      </c>
      <c r="B719" s="568"/>
      <c r="C719" s="363"/>
      <c r="D719" s="364"/>
    </row>
    <row r="720" spans="1:4" ht="14.25">
      <c r="A720" s="96" t="s">
        <v>1099</v>
      </c>
      <c r="B720" s="568"/>
      <c r="C720" s="363"/>
      <c r="D720" s="364"/>
    </row>
    <row r="721" spans="1:4" ht="14.25">
      <c r="A721" s="96" t="s">
        <v>1100</v>
      </c>
      <c r="B721" s="568"/>
      <c r="C721" s="363"/>
      <c r="D721" s="364"/>
    </row>
    <row r="722" spans="1:4" ht="14.25">
      <c r="A722" s="96" t="s">
        <v>1101</v>
      </c>
      <c r="B722" s="568"/>
      <c r="C722" s="363"/>
      <c r="D722" s="364"/>
    </row>
    <row r="723" spans="1:4" ht="14.25">
      <c r="A723" s="96" t="s">
        <v>1094</v>
      </c>
      <c r="B723" s="568"/>
      <c r="C723" s="363">
        <f>SUM(C705+C711+C717)</f>
        <v>20</v>
      </c>
      <c r="D723" s="364">
        <f>SUM(D705+D711+D717)</f>
        <v>22</v>
      </c>
    </row>
    <row r="724" spans="1:4" ht="14.25">
      <c r="A724" s="253" t="s">
        <v>1095</v>
      </c>
      <c r="B724" s="588"/>
      <c r="C724" s="393">
        <v>452</v>
      </c>
      <c r="D724" s="419">
        <v>452</v>
      </c>
    </row>
    <row r="725" spans="1:4" ht="15.75" thickBot="1">
      <c r="A725" s="255" t="s">
        <v>1096</v>
      </c>
      <c r="B725" s="569"/>
      <c r="C725" s="425">
        <f>C723+C724</f>
        <v>472</v>
      </c>
      <c r="D725" s="465">
        <f>D723+D724</f>
        <v>474</v>
      </c>
    </row>
    <row r="726" spans="1:4" ht="14.25">
      <c r="A726" s="359"/>
      <c r="B726" s="487"/>
      <c r="C726" s="618"/>
      <c r="D726" s="681"/>
    </row>
    <row r="727" spans="1:4" ht="14.25">
      <c r="A727" s="359"/>
      <c r="B727" s="357"/>
      <c r="C727" s="358"/>
      <c r="D727" s="386"/>
    </row>
    <row r="728" spans="1:4" ht="15.75" thickBot="1">
      <c r="A728" s="213" t="s">
        <v>54</v>
      </c>
      <c r="B728" s="407"/>
      <c r="C728" s="376"/>
      <c r="D728" s="412"/>
    </row>
    <row r="729" spans="1:4" s="448" customFormat="1" ht="30">
      <c r="A729" s="442" t="s">
        <v>1102</v>
      </c>
      <c r="B729" s="567"/>
      <c r="C729" s="443">
        <v>2002</v>
      </c>
      <c r="D729" s="444">
        <v>2001</v>
      </c>
    </row>
    <row r="730" spans="1:5" ht="14.25">
      <c r="A730" s="96" t="s">
        <v>227</v>
      </c>
      <c r="B730" s="588"/>
      <c r="C730" s="393">
        <f>1376+153</f>
        <v>1529</v>
      </c>
      <c r="D730" s="419">
        <v>271</v>
      </c>
      <c r="E730" s="476"/>
    </row>
    <row r="731" spans="1:4" ht="14.25">
      <c r="A731" s="96" t="s">
        <v>949</v>
      </c>
      <c r="B731" s="588"/>
      <c r="C731" s="419">
        <f>C732</f>
        <v>153</v>
      </c>
      <c r="D731" s="419">
        <f>D732</f>
        <v>1284</v>
      </c>
    </row>
    <row r="732" spans="1:4" ht="14.25">
      <c r="A732" s="96" t="s">
        <v>124</v>
      </c>
      <c r="B732" s="588"/>
      <c r="C732" s="393">
        <f>5+148</f>
        <v>153</v>
      </c>
      <c r="D732" s="419">
        <v>1284</v>
      </c>
    </row>
    <row r="733" spans="1:4" ht="14.25">
      <c r="A733" s="96" t="s">
        <v>950</v>
      </c>
      <c r="B733" s="588"/>
      <c r="C733" s="393">
        <f>SUM(C734:C735)</f>
        <v>38</v>
      </c>
      <c r="D733" s="419">
        <f>SUM(D734:D735)</f>
        <v>26</v>
      </c>
    </row>
    <row r="734" spans="1:4" ht="14.25">
      <c r="A734" s="253" t="s">
        <v>125</v>
      </c>
      <c r="B734" s="588"/>
      <c r="C734" s="393">
        <v>32</v>
      </c>
      <c r="D734" s="419">
        <v>25</v>
      </c>
    </row>
    <row r="735" spans="1:4" ht="14.25">
      <c r="A735" s="627" t="s">
        <v>526</v>
      </c>
      <c r="B735" s="628"/>
      <c r="C735" s="512">
        <v>6</v>
      </c>
      <c r="D735" s="511">
        <v>1</v>
      </c>
    </row>
    <row r="736" spans="1:4" ht="30.75" thickBot="1">
      <c r="A736" s="255" t="s">
        <v>1103</v>
      </c>
      <c r="B736" s="604"/>
      <c r="C736" s="641">
        <f>C730+C731-C733</f>
        <v>1644</v>
      </c>
      <c r="D736" s="469">
        <f>D730+D731-D733</f>
        <v>1529</v>
      </c>
    </row>
    <row r="737" spans="1:4" ht="14.25">
      <c r="A737" s="359"/>
      <c r="B737" s="618"/>
      <c r="C737" s="618"/>
      <c r="D737" s="681"/>
    </row>
    <row r="738" spans="1:4" ht="14.25">
      <c r="A738" s="359"/>
      <c r="B738" s="357"/>
      <c r="C738" s="358"/>
      <c r="D738" s="386"/>
    </row>
    <row r="739" spans="1:4" ht="15.75" thickBot="1">
      <c r="A739" s="213" t="s">
        <v>55</v>
      </c>
      <c r="B739" s="407"/>
      <c r="C739" s="407"/>
      <c r="D739" s="418"/>
    </row>
    <row r="740" spans="1:4" s="448" customFormat="1" ht="30">
      <c r="A740" s="605" t="s">
        <v>1104</v>
      </c>
      <c r="B740" s="606"/>
      <c r="C740" s="443">
        <v>2002</v>
      </c>
      <c r="D740" s="444">
        <v>2001</v>
      </c>
    </row>
    <row r="741" spans="1:5" ht="14.25">
      <c r="A741" s="96" t="s">
        <v>230</v>
      </c>
      <c r="B741" s="568"/>
      <c r="C741" s="393">
        <f>C700-C742</f>
        <v>11192</v>
      </c>
      <c r="D741" s="364">
        <f>D700-D742</f>
        <v>24058</v>
      </c>
      <c r="E741" s="631"/>
    </row>
    <row r="742" spans="1:4" ht="14.25">
      <c r="A742" s="96" t="s">
        <v>231</v>
      </c>
      <c r="B742" s="568"/>
      <c r="C742" s="363">
        <f>C744+C746+C748</f>
        <v>671</v>
      </c>
      <c r="D742" s="364">
        <f>D744+D746+D748</f>
        <v>398</v>
      </c>
    </row>
    <row r="743" spans="1:4" ht="14.25">
      <c r="A743" s="96" t="s">
        <v>126</v>
      </c>
      <c r="B743" s="568"/>
      <c r="C743" s="363">
        <f>4+100</f>
        <v>104</v>
      </c>
      <c r="D743" s="364">
        <v>100</v>
      </c>
    </row>
    <row r="744" spans="1:4" s="274" customFormat="1" ht="14.25">
      <c r="A744" s="96" t="s">
        <v>233</v>
      </c>
      <c r="B744" s="568"/>
      <c r="C744" s="363">
        <f>14+377</f>
        <v>391</v>
      </c>
      <c r="D744" s="364">
        <v>398</v>
      </c>
    </row>
    <row r="745" spans="1:4" ht="14.25">
      <c r="A745" s="96" t="s">
        <v>127</v>
      </c>
      <c r="B745" s="568"/>
      <c r="C745" s="363">
        <v>71</v>
      </c>
      <c r="D745" s="364"/>
    </row>
    <row r="746" spans="1:4" ht="14.25">
      <c r="A746" s="96" t="s">
        <v>233</v>
      </c>
      <c r="B746" s="568"/>
      <c r="C746" s="363">
        <v>280</v>
      </c>
      <c r="D746" s="364"/>
    </row>
    <row r="747" spans="1:4" ht="14.25">
      <c r="A747" s="96" t="s">
        <v>406</v>
      </c>
      <c r="B747" s="568"/>
      <c r="C747" s="363"/>
      <c r="D747" s="364"/>
    </row>
    <row r="748" spans="1:4" ht="14.25">
      <c r="A748" s="96" t="s">
        <v>233</v>
      </c>
      <c r="B748" s="568"/>
      <c r="C748" s="363"/>
      <c r="D748" s="364"/>
    </row>
    <row r="749" spans="1:4" ht="14.25">
      <c r="A749" s="96" t="s">
        <v>234</v>
      </c>
      <c r="B749" s="568"/>
      <c r="C749" s="363"/>
      <c r="D749" s="364"/>
    </row>
    <row r="750" spans="1:4" ht="15.75" thickBot="1">
      <c r="A750" s="255" t="s">
        <v>1105</v>
      </c>
      <c r="B750" s="599"/>
      <c r="C750" s="463">
        <f>C741+C742</f>
        <v>11863</v>
      </c>
      <c r="D750" s="464">
        <f>D741+D742</f>
        <v>24456</v>
      </c>
    </row>
    <row r="751" spans="1:4" ht="14.25">
      <c r="A751" s="359"/>
      <c r="B751" s="487"/>
      <c r="C751" s="618"/>
      <c r="D751" s="681"/>
    </row>
    <row r="752" spans="1:4" ht="14.25">
      <c r="A752" s="359"/>
      <c r="B752" s="357"/>
      <c r="C752" s="358"/>
      <c r="D752" s="386"/>
    </row>
    <row r="753" spans="1:4" ht="15.75" thickBot="1">
      <c r="A753" s="213" t="s">
        <v>56</v>
      </c>
      <c r="B753" s="407"/>
      <c r="C753" s="376"/>
      <c r="D753" s="412"/>
    </row>
    <row r="754" spans="1:4" s="448" customFormat="1" ht="30">
      <c r="A754" s="442" t="s">
        <v>1106</v>
      </c>
      <c r="B754" s="567"/>
      <c r="C754" s="443">
        <v>2002</v>
      </c>
      <c r="D754" s="444">
        <v>2001</v>
      </c>
    </row>
    <row r="755" spans="1:6" ht="14.25">
      <c r="A755" s="96" t="s">
        <v>531</v>
      </c>
      <c r="B755" s="588"/>
      <c r="C755" s="363">
        <f>3+442+1318+5591</f>
        <v>7354</v>
      </c>
      <c r="D755" s="364">
        <f>22+20236</f>
        <v>20258</v>
      </c>
      <c r="E755" s="25"/>
      <c r="F755" s="25"/>
    </row>
    <row r="756" spans="1:6" ht="14.25">
      <c r="A756" s="96" t="s">
        <v>532</v>
      </c>
      <c r="B756" s="588"/>
      <c r="C756" s="363">
        <f>21+124+231-1</f>
        <v>375</v>
      </c>
      <c r="D756" s="364">
        <f>16+345</f>
        <v>361</v>
      </c>
      <c r="E756" s="25"/>
      <c r="F756" s="25"/>
    </row>
    <row r="757" spans="1:6" ht="14.25">
      <c r="A757" s="96" t="s">
        <v>533</v>
      </c>
      <c r="B757" s="588"/>
      <c r="C757" s="363">
        <v>4</v>
      </c>
      <c r="D757" s="364"/>
      <c r="E757" s="25"/>
      <c r="F757" s="25"/>
    </row>
    <row r="758" spans="1:6" ht="14.25">
      <c r="A758" s="96" t="s">
        <v>534</v>
      </c>
      <c r="B758" s="568"/>
      <c r="C758" s="363"/>
      <c r="D758" s="364"/>
      <c r="E758" s="25"/>
      <c r="F758" s="25"/>
    </row>
    <row r="759" spans="1:6" ht="14.25">
      <c r="A759" s="96" t="s">
        <v>535</v>
      </c>
      <c r="B759" s="568"/>
      <c r="C759" s="363">
        <v>115</v>
      </c>
      <c r="D759" s="364">
        <v>40</v>
      </c>
      <c r="E759" s="25"/>
      <c r="F759" s="25"/>
    </row>
    <row r="760" spans="1:6" ht="14.25">
      <c r="A760" s="96" t="s">
        <v>536</v>
      </c>
      <c r="B760" s="568"/>
      <c r="C760" s="393">
        <f>14+30+3+5+2813</f>
        <v>2865</v>
      </c>
      <c r="D760" s="364">
        <f>2662+152-152</f>
        <v>2662</v>
      </c>
      <c r="E760" s="486"/>
      <c r="F760" s="25"/>
    </row>
    <row r="761" spans="1:6" ht="14.25">
      <c r="A761" s="96" t="s">
        <v>537</v>
      </c>
      <c r="B761" s="568"/>
      <c r="C761" s="363">
        <f>SUM(C755:C760)</f>
        <v>10713</v>
      </c>
      <c r="D761" s="364">
        <f>SUM(D755:D760)</f>
        <v>23321</v>
      </c>
      <c r="E761" s="479"/>
      <c r="F761" s="25"/>
    </row>
    <row r="762" spans="1:6" ht="14.25">
      <c r="A762" s="96" t="s">
        <v>538</v>
      </c>
      <c r="B762" s="568"/>
      <c r="C762" s="363">
        <f>5+1034</f>
        <v>1039</v>
      </c>
      <c r="D762" s="364">
        <v>924</v>
      </c>
      <c r="E762" s="25"/>
      <c r="F762" s="25"/>
    </row>
    <row r="763" spans="1:6" ht="15.75" thickBot="1">
      <c r="A763" s="255" t="s">
        <v>539</v>
      </c>
      <c r="B763" s="569"/>
      <c r="C763" s="425">
        <f>C761-C762</f>
        <v>9674</v>
      </c>
      <c r="D763" s="465">
        <f>D761-D762</f>
        <v>22397</v>
      </c>
      <c r="E763" s="481"/>
      <c r="F763" s="25"/>
    </row>
    <row r="764" spans="1:6" ht="14.25">
      <c r="A764" s="359"/>
      <c r="B764" s="482"/>
      <c r="C764" s="618"/>
      <c r="D764" s="681"/>
      <c r="E764" s="25"/>
      <c r="F764" s="25"/>
    </row>
    <row r="765" spans="1:6" ht="14.25">
      <c r="A765" s="359"/>
      <c r="B765" s="357"/>
      <c r="C765" s="358"/>
      <c r="D765" s="386"/>
      <c r="E765" s="480"/>
      <c r="F765" s="480"/>
    </row>
    <row r="766" spans="1:4" ht="15.75" thickBot="1">
      <c r="A766" s="213" t="s">
        <v>57</v>
      </c>
      <c r="B766" s="376"/>
      <c r="C766" s="376"/>
      <c r="D766" s="412"/>
    </row>
    <row r="767" spans="1:4" s="448" customFormat="1" ht="45">
      <c r="A767" s="442" t="s">
        <v>414</v>
      </c>
      <c r="B767" s="567"/>
      <c r="C767" s="443">
        <v>2002</v>
      </c>
      <c r="D767" s="444">
        <v>2001</v>
      </c>
    </row>
    <row r="768" spans="1:4" s="274" customFormat="1" ht="14.25">
      <c r="A768" s="96" t="s">
        <v>531</v>
      </c>
      <c r="B768" s="568"/>
      <c r="C768" s="363">
        <f>1+16+828</f>
        <v>845</v>
      </c>
      <c r="D768" s="364">
        <v>785</v>
      </c>
    </row>
    <row r="769" spans="1:4" ht="14.25">
      <c r="A769" s="96" t="s">
        <v>532</v>
      </c>
      <c r="B769" s="568"/>
      <c r="C769" s="363">
        <f>5+16+331</f>
        <v>352</v>
      </c>
      <c r="D769" s="364">
        <v>1037</v>
      </c>
    </row>
    <row r="770" spans="1:4" ht="14.25">
      <c r="A770" s="96" t="s">
        <v>533</v>
      </c>
      <c r="B770" s="568"/>
      <c r="C770" s="363">
        <f>8+4+234</f>
        <v>246</v>
      </c>
      <c r="D770" s="364">
        <v>106</v>
      </c>
    </row>
    <row r="771" spans="1:4" ht="14.25">
      <c r="A771" s="96" t="s">
        <v>534</v>
      </c>
      <c r="B771" s="568"/>
      <c r="C771" s="363">
        <f>3+435</f>
        <v>438</v>
      </c>
      <c r="D771" s="364">
        <f>151+412-150</f>
        <v>413</v>
      </c>
    </row>
    <row r="772" spans="1:5" ht="14.25">
      <c r="A772" s="96" t="s">
        <v>535</v>
      </c>
      <c r="B772" s="568"/>
      <c r="C772" s="363">
        <v>984</v>
      </c>
      <c r="D772" s="364">
        <v>321</v>
      </c>
      <c r="E772" s="326"/>
    </row>
    <row r="773" spans="1:4" ht="14.25">
      <c r="A773" s="96" t="s">
        <v>540</v>
      </c>
      <c r="B773" s="568"/>
      <c r="C773" s="363">
        <f>SUM(C768:C772)</f>
        <v>2865</v>
      </c>
      <c r="D773" s="364">
        <f>SUM(D768:D772)</f>
        <v>2662</v>
      </c>
    </row>
    <row r="774" spans="1:5" ht="28.5">
      <c r="A774" s="96" t="s">
        <v>541</v>
      </c>
      <c r="B774" s="568"/>
      <c r="C774" s="363">
        <f>1034+3</f>
        <v>1037</v>
      </c>
      <c r="D774" s="364">
        <v>924</v>
      </c>
      <c r="E774" s="486"/>
    </row>
    <row r="775" spans="1:4" ht="15.75" thickBot="1">
      <c r="A775" s="255" t="s">
        <v>542</v>
      </c>
      <c r="B775" s="569"/>
      <c r="C775" s="425">
        <f>C773-C774</f>
        <v>1828</v>
      </c>
      <c r="D775" s="465">
        <f>D773-D774</f>
        <v>1738</v>
      </c>
    </row>
    <row r="776" spans="1:4" ht="14.25">
      <c r="A776" s="359"/>
      <c r="B776" s="357"/>
      <c r="C776" s="618"/>
      <c r="D776" s="681"/>
    </row>
    <row r="777" spans="1:4" ht="14.25">
      <c r="A777" s="359"/>
      <c r="B777" s="357"/>
      <c r="C777" s="358"/>
      <c r="D777" s="386"/>
    </row>
    <row r="778" spans="1:4" ht="15.75" thickBot="1">
      <c r="A778" s="213" t="s">
        <v>58</v>
      </c>
      <c r="B778" s="357"/>
      <c r="C778" s="358"/>
      <c r="D778" s="386"/>
    </row>
    <row r="779" spans="1:8" s="456" customFormat="1" ht="51.75" customHeight="1">
      <c r="A779" s="451" t="s">
        <v>988</v>
      </c>
      <c r="B779" s="607"/>
      <c r="C779" s="452">
        <f>C767</f>
        <v>2002</v>
      </c>
      <c r="D779" s="453">
        <f>D767</f>
        <v>2001</v>
      </c>
      <c r="E779" s="454"/>
      <c r="F779" s="454"/>
      <c r="G779" s="455"/>
      <c r="H779" s="455"/>
    </row>
    <row r="780" spans="1:8" ht="15.75">
      <c r="A780" s="420" t="s">
        <v>989</v>
      </c>
      <c r="B780" s="608"/>
      <c r="C780" s="470"/>
      <c r="D780" s="471"/>
      <c r="E780" s="355"/>
      <c r="F780" s="354"/>
      <c r="G780" s="356"/>
      <c r="H780" s="356"/>
    </row>
    <row r="781" spans="1:8" s="274" customFormat="1" ht="14.25">
      <c r="A781" s="421" t="s">
        <v>990</v>
      </c>
      <c r="B781" s="608"/>
      <c r="C781" s="472"/>
      <c r="D781" s="473"/>
      <c r="E781"/>
      <c r="F781"/>
      <c r="G781"/>
      <c r="H781"/>
    </row>
    <row r="782" spans="1:4" ht="28.5">
      <c r="A782" s="422" t="s">
        <v>369</v>
      </c>
      <c r="B782" s="609"/>
      <c r="C782" s="632"/>
      <c r="D782" s="633"/>
    </row>
    <row r="783" spans="1:4" ht="14.25">
      <c r="A783" s="95" t="s">
        <v>370</v>
      </c>
      <c r="B783" s="609"/>
      <c r="C783" s="632">
        <f>C773</f>
        <v>2865</v>
      </c>
      <c r="D783" s="633">
        <f>D773</f>
        <v>2662</v>
      </c>
    </row>
    <row r="784" spans="1:4" ht="15" thickBot="1">
      <c r="A784" s="101" t="s">
        <v>371</v>
      </c>
      <c r="B784" s="610"/>
      <c r="C784" s="634">
        <f>C775</f>
        <v>1828</v>
      </c>
      <c r="D784" s="635">
        <f>D775</f>
        <v>1738</v>
      </c>
    </row>
    <row r="785" spans="1:4" ht="15">
      <c r="A785" s="213"/>
      <c r="B785" s="376"/>
      <c r="C785" s="618"/>
      <c r="D785" s="685"/>
    </row>
    <row r="786" spans="1:4" ht="15.75" thickBot="1">
      <c r="A786" s="213" t="s">
        <v>59</v>
      </c>
      <c r="B786" s="376"/>
      <c r="C786" s="376"/>
      <c r="D786" s="400"/>
    </row>
    <row r="787" spans="1:4" s="448" customFormat="1" ht="15">
      <c r="A787" s="442" t="s">
        <v>544</v>
      </c>
      <c r="B787" s="567"/>
      <c r="C787" s="443">
        <v>2002</v>
      </c>
      <c r="D787" s="444">
        <v>2001</v>
      </c>
    </row>
    <row r="788" spans="1:4" ht="14.25">
      <c r="A788" s="96" t="s">
        <v>242</v>
      </c>
      <c r="B788" s="568"/>
      <c r="C788" s="363">
        <f>SUM(C789:C796)</f>
        <v>393</v>
      </c>
      <c r="D788" s="364">
        <f>SUM(D789:D796)</f>
        <v>3230</v>
      </c>
    </row>
    <row r="789" spans="1:4" ht="14.25">
      <c r="A789" s="96" t="s">
        <v>844</v>
      </c>
      <c r="B789" s="588"/>
      <c r="C789" s="363"/>
      <c r="D789" s="364">
        <v>1174</v>
      </c>
    </row>
    <row r="790" spans="1:4" ht="14.25">
      <c r="A790" s="96" t="s">
        <v>1134</v>
      </c>
      <c r="B790" s="568"/>
      <c r="C790" s="363"/>
      <c r="D790" s="364"/>
    </row>
    <row r="791" spans="1:4" ht="14.25">
      <c r="A791" s="96" t="s">
        <v>845</v>
      </c>
      <c r="B791" s="568"/>
      <c r="C791" s="363"/>
      <c r="D791" s="364"/>
    </row>
    <row r="792" spans="1:4" ht="14.25">
      <c r="A792" s="96" t="s">
        <v>846</v>
      </c>
      <c r="B792" s="568"/>
      <c r="C792" s="363"/>
      <c r="D792" s="364"/>
    </row>
    <row r="793" spans="1:4" ht="14.25">
      <c r="A793" s="96" t="s">
        <v>954</v>
      </c>
      <c r="B793" s="568"/>
      <c r="C793" s="363"/>
      <c r="D793" s="364"/>
    </row>
    <row r="794" spans="1:4" ht="14.25">
      <c r="A794" s="96" t="s">
        <v>847</v>
      </c>
      <c r="B794" s="568"/>
      <c r="C794" s="363">
        <f>1112-719</f>
        <v>393</v>
      </c>
      <c r="D794" s="364">
        <f>5046-2990</f>
        <v>2056</v>
      </c>
    </row>
    <row r="795" spans="1:8" ht="14.25">
      <c r="A795" s="96" t="s">
        <v>1133</v>
      </c>
      <c r="B795" s="568"/>
      <c r="C795" s="363"/>
      <c r="D795" s="364"/>
      <c r="E795" s="274"/>
      <c r="F795" s="274"/>
      <c r="G795" s="274"/>
      <c r="H795" s="274"/>
    </row>
    <row r="796" spans="1:4" ht="14.25">
      <c r="A796" s="96" t="s">
        <v>954</v>
      </c>
      <c r="B796" s="568"/>
      <c r="C796" s="363"/>
      <c r="D796" s="364"/>
    </row>
    <row r="797" spans="1:4" ht="14.25">
      <c r="A797" s="96" t="s">
        <v>243</v>
      </c>
      <c r="B797" s="568"/>
      <c r="C797" s="363">
        <f>SUM(C798:C805)</f>
        <v>0</v>
      </c>
      <c r="D797" s="364">
        <f>SUM(D798:D805)</f>
        <v>0</v>
      </c>
    </row>
    <row r="798" spans="1:4" ht="14.25">
      <c r="A798" s="96" t="s">
        <v>844</v>
      </c>
      <c r="B798" s="568"/>
      <c r="C798" s="363"/>
      <c r="D798" s="364"/>
    </row>
    <row r="799" spans="1:4" ht="14.25">
      <c r="A799" s="96" t="s">
        <v>1134</v>
      </c>
      <c r="B799" s="568"/>
      <c r="C799" s="363"/>
      <c r="D799" s="364"/>
    </row>
    <row r="800" spans="1:4" ht="14.25">
      <c r="A800" s="96" t="s">
        <v>845</v>
      </c>
      <c r="B800" s="568"/>
      <c r="C800" s="363"/>
      <c r="D800" s="364"/>
    </row>
    <row r="801" spans="1:8" s="274" customFormat="1" ht="14.25">
      <c r="A801" s="96" t="s">
        <v>846</v>
      </c>
      <c r="B801" s="568"/>
      <c r="C801" s="363"/>
      <c r="D801" s="364"/>
      <c r="E801"/>
      <c r="F801"/>
      <c r="G801"/>
      <c r="H801"/>
    </row>
    <row r="802" spans="1:4" ht="14.25">
      <c r="A802" s="96" t="s">
        <v>954</v>
      </c>
      <c r="B802" s="568"/>
      <c r="C802" s="363"/>
      <c r="D802" s="364"/>
    </row>
    <row r="803" spans="1:4" ht="14.25">
      <c r="A803" s="96" t="s">
        <v>847</v>
      </c>
      <c r="B803" s="568"/>
      <c r="C803" s="363"/>
      <c r="D803" s="364"/>
    </row>
    <row r="804" spans="1:4" ht="14.25">
      <c r="A804" s="96" t="s">
        <v>1133</v>
      </c>
      <c r="B804" s="568"/>
      <c r="C804" s="363"/>
      <c r="D804" s="364"/>
    </row>
    <row r="805" spans="1:4" ht="14.25">
      <c r="A805" s="96" t="s">
        <v>954</v>
      </c>
      <c r="B805" s="568"/>
      <c r="C805" s="363"/>
      <c r="D805" s="364"/>
    </row>
    <row r="806" spans="1:4" ht="14.25">
      <c r="A806" s="96" t="s">
        <v>839</v>
      </c>
      <c r="B806" s="568"/>
      <c r="C806" s="363">
        <f>SUM(C807:C814)</f>
        <v>0</v>
      </c>
      <c r="D806" s="364">
        <f>SUM(D807:D814)</f>
        <v>794</v>
      </c>
    </row>
    <row r="807" spans="1:4" ht="14.25">
      <c r="A807" s="96" t="s">
        <v>844</v>
      </c>
      <c r="B807" s="568"/>
      <c r="C807" s="363"/>
      <c r="D807" s="364"/>
    </row>
    <row r="808" spans="1:4" ht="14.25">
      <c r="A808" s="96" t="s">
        <v>1134</v>
      </c>
      <c r="B808" s="568"/>
      <c r="C808" s="363"/>
      <c r="D808" s="364"/>
    </row>
    <row r="809" spans="1:4" ht="14.25">
      <c r="A809" s="96" t="s">
        <v>845</v>
      </c>
      <c r="B809" s="568"/>
      <c r="C809" s="363"/>
      <c r="D809" s="364"/>
    </row>
    <row r="810" spans="1:4" ht="14.25">
      <c r="A810" s="96" t="s">
        <v>846</v>
      </c>
      <c r="B810" s="568"/>
      <c r="C810" s="363"/>
      <c r="D810" s="364"/>
    </row>
    <row r="811" spans="1:4" ht="14.25">
      <c r="A811" s="96" t="s">
        <v>954</v>
      </c>
      <c r="B811" s="568"/>
      <c r="C811" s="363"/>
      <c r="D811" s="364"/>
    </row>
    <row r="812" spans="1:4" ht="14.25">
      <c r="A812" s="96" t="s">
        <v>847</v>
      </c>
      <c r="B812" s="568"/>
      <c r="C812" s="363"/>
      <c r="D812" s="364">
        <v>794</v>
      </c>
    </row>
    <row r="813" spans="1:4" ht="14.25">
      <c r="A813" s="96" t="s">
        <v>1133</v>
      </c>
      <c r="B813" s="568"/>
      <c r="C813" s="363"/>
      <c r="D813" s="364"/>
    </row>
    <row r="814" spans="1:4" ht="14.25">
      <c r="A814" s="96" t="s">
        <v>954</v>
      </c>
      <c r="B814" s="568"/>
      <c r="C814" s="363"/>
      <c r="D814" s="364"/>
    </row>
    <row r="815" spans="1:4" ht="14.25">
      <c r="A815" s="96" t="s">
        <v>840</v>
      </c>
      <c r="B815" s="568"/>
      <c r="C815" s="363">
        <f>SUM(C816:C823)</f>
        <v>0</v>
      </c>
      <c r="D815" s="364">
        <f>SUM(D816:D823)</f>
        <v>0</v>
      </c>
    </row>
    <row r="816" spans="1:4" ht="14.25">
      <c r="A816" s="96" t="s">
        <v>844</v>
      </c>
      <c r="B816" s="568"/>
      <c r="C816" s="363"/>
      <c r="D816" s="364"/>
    </row>
    <row r="817" spans="1:4" ht="14.25">
      <c r="A817" s="96" t="s">
        <v>1134</v>
      </c>
      <c r="B817" s="568"/>
      <c r="C817" s="363"/>
      <c r="D817" s="364"/>
    </row>
    <row r="818" spans="1:4" ht="14.25">
      <c r="A818" s="96" t="s">
        <v>845</v>
      </c>
      <c r="B818" s="568"/>
      <c r="C818" s="363"/>
      <c r="D818" s="364"/>
    </row>
    <row r="819" spans="1:4" ht="14.25">
      <c r="A819" s="96" t="s">
        <v>846</v>
      </c>
      <c r="B819" s="568"/>
      <c r="C819" s="363"/>
      <c r="D819" s="364"/>
    </row>
    <row r="820" spans="1:4" ht="14.25">
      <c r="A820" s="96" t="s">
        <v>954</v>
      </c>
      <c r="B820" s="568"/>
      <c r="C820" s="363"/>
      <c r="D820" s="364"/>
    </row>
    <row r="821" spans="1:4" ht="14.25">
      <c r="A821" s="96" t="s">
        <v>847</v>
      </c>
      <c r="B821" s="568"/>
      <c r="C821" s="363"/>
      <c r="D821" s="364"/>
    </row>
    <row r="822" spans="1:4" ht="14.25">
      <c r="A822" s="96" t="s">
        <v>1133</v>
      </c>
      <c r="B822" s="568"/>
      <c r="C822" s="363"/>
      <c r="D822" s="364"/>
    </row>
    <row r="823" spans="1:4" ht="14.25">
      <c r="A823" s="96" t="s">
        <v>954</v>
      </c>
      <c r="B823" s="568"/>
      <c r="C823" s="363"/>
      <c r="D823" s="364"/>
    </row>
    <row r="824" spans="1:4" ht="14.25">
      <c r="A824" s="96" t="s">
        <v>841</v>
      </c>
      <c r="B824" s="568"/>
      <c r="C824" s="363">
        <f>SUM(C825:C832)</f>
        <v>2222</v>
      </c>
      <c r="D824" s="364">
        <f>SUM(D825:D832)</f>
        <v>1342</v>
      </c>
    </row>
    <row r="825" spans="1:4" ht="14.25">
      <c r="A825" s="96" t="s">
        <v>844</v>
      </c>
      <c r="B825" s="568"/>
      <c r="C825" s="363"/>
      <c r="D825" s="364"/>
    </row>
    <row r="826" spans="1:4" ht="14.25">
      <c r="A826" s="96" t="s">
        <v>1134</v>
      </c>
      <c r="B826" s="568"/>
      <c r="C826" s="363"/>
      <c r="D826" s="364"/>
    </row>
    <row r="827" spans="1:4" ht="14.25">
      <c r="A827" s="96" t="s">
        <v>845</v>
      </c>
      <c r="B827" s="568"/>
      <c r="C827" s="363"/>
      <c r="D827" s="364"/>
    </row>
    <row r="828" spans="1:4" ht="14.25">
      <c r="A828" s="96" t="s">
        <v>846</v>
      </c>
      <c r="B828" s="568"/>
      <c r="C828" s="363"/>
      <c r="D828" s="364"/>
    </row>
    <row r="829" spans="1:4" ht="14.25">
      <c r="A829" s="96" t="s">
        <v>954</v>
      </c>
      <c r="B829" s="568"/>
      <c r="C829" s="363"/>
      <c r="D829" s="364"/>
    </row>
    <row r="830" spans="1:4" ht="14.25">
      <c r="A830" s="96" t="s">
        <v>847</v>
      </c>
      <c r="B830" s="568"/>
      <c r="C830" s="363">
        <v>2222</v>
      </c>
      <c r="D830" s="364">
        <v>1342</v>
      </c>
    </row>
    <row r="831" spans="1:4" ht="14.25">
      <c r="A831" s="96" t="s">
        <v>1133</v>
      </c>
      <c r="B831" s="568"/>
      <c r="C831" s="363"/>
      <c r="D831" s="364"/>
    </row>
    <row r="832" spans="1:4" ht="14.25">
      <c r="A832" s="96" t="s">
        <v>954</v>
      </c>
      <c r="B832" s="568"/>
      <c r="C832" s="363"/>
      <c r="D832" s="364"/>
    </row>
    <row r="833" spans="1:4" ht="14.25">
      <c r="A833" s="96" t="s">
        <v>842</v>
      </c>
      <c r="B833" s="568"/>
      <c r="C833" s="363">
        <f>SUM(C834:C841)</f>
        <v>265</v>
      </c>
      <c r="D833" s="364">
        <f>SUM(D834:D841)</f>
        <v>6574</v>
      </c>
    </row>
    <row r="834" spans="1:4" ht="14.25">
      <c r="A834" s="96" t="s">
        <v>844</v>
      </c>
      <c r="B834" s="568"/>
      <c r="C834" s="363"/>
      <c r="D834" s="364"/>
    </row>
    <row r="835" spans="1:4" ht="14.25">
      <c r="A835" s="96" t="s">
        <v>1134</v>
      </c>
      <c r="B835" s="568"/>
      <c r="C835" s="363"/>
      <c r="D835" s="364"/>
    </row>
    <row r="836" spans="1:4" ht="14.25">
      <c r="A836" s="96" t="s">
        <v>845</v>
      </c>
      <c r="B836" s="568"/>
      <c r="C836" s="363"/>
      <c r="D836" s="364"/>
    </row>
    <row r="837" spans="1:4" ht="14.25">
      <c r="A837" s="96" t="s">
        <v>846</v>
      </c>
      <c r="B837" s="568"/>
      <c r="C837" s="363"/>
      <c r="D837" s="364">
        <v>5642</v>
      </c>
    </row>
    <row r="838" spans="1:4" ht="14.25">
      <c r="A838" s="253" t="s">
        <v>737</v>
      </c>
      <c r="B838" s="568"/>
      <c r="C838" s="363"/>
      <c r="D838" s="364"/>
    </row>
    <row r="839" spans="1:4" ht="14.25">
      <c r="A839" s="96" t="s">
        <v>847</v>
      </c>
      <c r="B839" s="568"/>
      <c r="C839" s="363">
        <f>189+16</f>
        <v>205</v>
      </c>
      <c r="D839" s="364">
        <f>871+61</f>
        <v>932</v>
      </c>
    </row>
    <row r="840" spans="1:4" ht="14.25">
      <c r="A840" s="96" t="s">
        <v>1133</v>
      </c>
      <c r="B840" s="568"/>
      <c r="C840" s="363">
        <v>60</v>
      </c>
      <c r="D840" s="364"/>
    </row>
    <row r="841" spans="1:4" ht="14.25">
      <c r="A841" s="96" t="s">
        <v>1108</v>
      </c>
      <c r="B841" s="568"/>
      <c r="C841" s="363"/>
      <c r="D841" s="364"/>
    </row>
    <row r="842" spans="1:4" ht="14.25">
      <c r="A842" s="96" t="s">
        <v>1135</v>
      </c>
      <c r="B842" s="568"/>
      <c r="C842" s="363">
        <f>SUM(C843:C845)</f>
        <v>6662</v>
      </c>
      <c r="D842" s="364">
        <f>SUM(D843:D845)</f>
        <v>10944</v>
      </c>
    </row>
    <row r="843" spans="1:4" ht="14.25">
      <c r="A843" s="96" t="s">
        <v>1138</v>
      </c>
      <c r="B843" s="568"/>
      <c r="C843" s="363">
        <f>2543+279+1043+432+1</f>
        <v>4298</v>
      </c>
      <c r="D843" s="364">
        <f>8129+2815</f>
        <v>10944</v>
      </c>
    </row>
    <row r="844" spans="1:4" ht="14.25">
      <c r="A844" s="96" t="s">
        <v>1137</v>
      </c>
      <c r="B844" s="568"/>
      <c r="C844" s="363">
        <f>2000+360</f>
        <v>2360</v>
      </c>
      <c r="D844" s="364"/>
    </row>
    <row r="845" spans="1:4" ht="14.25">
      <c r="A845" s="96" t="s">
        <v>1139</v>
      </c>
      <c r="B845" s="568"/>
      <c r="C845" s="363">
        <v>4</v>
      </c>
      <c r="D845" s="364"/>
    </row>
    <row r="846" spans="1:4" ht="15.75" thickBot="1">
      <c r="A846" s="255" t="s">
        <v>1136</v>
      </c>
      <c r="B846" s="569"/>
      <c r="C846" s="425">
        <f>C788+C797+C806+C815+C824+C833+C842</f>
        <v>9542</v>
      </c>
      <c r="D846" s="465">
        <f>D788+D797+D806+D815+D824+D833+D842</f>
        <v>22884</v>
      </c>
    </row>
    <row r="847" spans="1:4" ht="14.25">
      <c r="A847" s="359"/>
      <c r="B847" s="488"/>
      <c r="C847" s="618"/>
      <c r="D847" s="681"/>
    </row>
    <row r="848" spans="1:4" ht="14.25">
      <c r="A848" s="359"/>
      <c r="B848" s="487"/>
      <c r="C848" s="357"/>
      <c r="D848" s="357"/>
    </row>
    <row r="849" spans="1:4" ht="15.75" thickBot="1">
      <c r="A849" s="213" t="s">
        <v>60</v>
      </c>
      <c r="B849" s="376"/>
      <c r="C849" s="376"/>
      <c r="D849" s="412"/>
    </row>
    <row r="850" spans="1:4" s="448" customFormat="1" ht="30">
      <c r="A850" s="442" t="s">
        <v>575</v>
      </c>
      <c r="B850" s="567"/>
      <c r="C850" s="443">
        <v>2002</v>
      </c>
      <c r="D850" s="444">
        <v>2001</v>
      </c>
    </row>
    <row r="851" spans="1:4" ht="14.25">
      <c r="A851" s="96" t="s">
        <v>230</v>
      </c>
      <c r="B851" s="588"/>
      <c r="C851" s="363">
        <f>C840</f>
        <v>60</v>
      </c>
      <c r="D851" s="364">
        <f>D789+D837</f>
        <v>6816</v>
      </c>
    </row>
    <row r="852" spans="1:4" ht="14.25">
      <c r="A852" s="96" t="s">
        <v>231</v>
      </c>
      <c r="B852" s="588"/>
      <c r="C852" s="363"/>
      <c r="D852" s="364">
        <f>D854+D859+D856+D858</f>
        <v>0</v>
      </c>
    </row>
    <row r="853" spans="1:4" ht="14.25">
      <c r="A853" s="96" t="s">
        <v>232</v>
      </c>
      <c r="B853" s="588"/>
      <c r="C853" s="363"/>
      <c r="D853" s="364"/>
    </row>
    <row r="854" spans="1:4" ht="14.25">
      <c r="A854" s="96" t="s">
        <v>233</v>
      </c>
      <c r="B854" s="588"/>
      <c r="C854" s="363"/>
      <c r="D854" s="364"/>
    </row>
    <row r="855" spans="1:4" ht="14.25">
      <c r="A855" s="96" t="s">
        <v>405</v>
      </c>
      <c r="B855" s="588"/>
      <c r="C855" s="363"/>
      <c r="D855" s="364"/>
    </row>
    <row r="856" spans="1:4" ht="14.25">
      <c r="A856" s="96" t="s">
        <v>233</v>
      </c>
      <c r="B856" s="588"/>
      <c r="C856" s="363"/>
      <c r="D856" s="364"/>
    </row>
    <row r="857" spans="1:4" ht="14.25">
      <c r="A857" s="96" t="s">
        <v>406</v>
      </c>
      <c r="B857" s="588"/>
      <c r="C857" s="363"/>
      <c r="D857" s="364"/>
    </row>
    <row r="858" spans="1:8" ht="14.25">
      <c r="A858" s="96" t="s">
        <v>233</v>
      </c>
      <c r="B858" s="588"/>
      <c r="C858" s="363"/>
      <c r="D858" s="364"/>
      <c r="E858" s="274"/>
      <c r="F858" s="274"/>
      <c r="G858" s="274"/>
      <c r="H858" s="274"/>
    </row>
    <row r="859" spans="1:4" ht="14.25">
      <c r="A859" s="96" t="s">
        <v>234</v>
      </c>
      <c r="B859" s="588"/>
      <c r="C859" s="363"/>
      <c r="D859" s="364"/>
    </row>
    <row r="860" spans="1:4" ht="30" thickBot="1">
      <c r="A860" s="257" t="s">
        <v>576</v>
      </c>
      <c r="B860" s="592"/>
      <c r="C860" s="425">
        <f>C851+C852</f>
        <v>60</v>
      </c>
      <c r="D860" s="465">
        <f>D851+D852</f>
        <v>6816</v>
      </c>
    </row>
    <row r="861" spans="1:4" ht="14.25">
      <c r="A861" s="359"/>
      <c r="B861" s="488"/>
      <c r="C861" s="618"/>
      <c r="D861" s="681"/>
    </row>
    <row r="862" spans="1:4" ht="14.25">
      <c r="A862" s="359"/>
      <c r="B862" s="357"/>
      <c r="C862" s="686"/>
      <c r="D862" s="683"/>
    </row>
    <row r="863" spans="1:4" ht="15.75" thickBot="1">
      <c r="A863" s="406" t="s">
        <v>61</v>
      </c>
      <c r="B863" s="407"/>
      <c r="C863" s="376"/>
      <c r="D863" s="412"/>
    </row>
    <row r="864" spans="1:8" s="445" customFormat="1" ht="30">
      <c r="A864" s="442" t="s">
        <v>577</v>
      </c>
      <c r="B864" s="567"/>
      <c r="C864" s="443">
        <v>2002</v>
      </c>
      <c r="D864" s="444">
        <v>2001</v>
      </c>
      <c r="E864" s="448"/>
      <c r="F864" s="448"/>
      <c r="G864" s="448"/>
      <c r="H864" s="448"/>
    </row>
    <row r="865" spans="1:4" ht="30">
      <c r="A865" s="252" t="s">
        <v>1221</v>
      </c>
      <c r="B865" s="611"/>
      <c r="C865" s="556">
        <f>C866+C870+C874</f>
        <v>0</v>
      </c>
      <c r="D865" s="557">
        <f>D866+D870+D874</f>
        <v>0</v>
      </c>
    </row>
    <row r="866" spans="1:4" ht="14.25">
      <c r="A866" s="96" t="s">
        <v>1222</v>
      </c>
      <c r="B866" s="588"/>
      <c r="C866" s="393">
        <f>SUM(C867:C869)</f>
        <v>0</v>
      </c>
      <c r="D866" s="419">
        <f>SUM(D867:D869)</f>
        <v>0</v>
      </c>
    </row>
    <row r="867" spans="1:4" ht="14.25">
      <c r="A867" s="96" t="s">
        <v>578</v>
      </c>
      <c r="B867" s="588"/>
      <c r="C867" s="393"/>
      <c r="D867" s="419"/>
    </row>
    <row r="868" spans="1:4" ht="14.25">
      <c r="A868" s="96" t="s">
        <v>579</v>
      </c>
      <c r="B868" s="588"/>
      <c r="C868" s="393"/>
      <c r="D868" s="419"/>
    </row>
    <row r="869" spans="1:4" ht="14.25">
      <c r="A869" s="96" t="s">
        <v>1228</v>
      </c>
      <c r="B869" s="588"/>
      <c r="C869" s="393"/>
      <c r="D869" s="419"/>
    </row>
    <row r="870" spans="1:4" ht="14.25">
      <c r="A870" s="96" t="s">
        <v>1223</v>
      </c>
      <c r="B870" s="588"/>
      <c r="C870" s="393">
        <f>SUM(C871:C873)</f>
        <v>0</v>
      </c>
      <c r="D870" s="419">
        <f>D872</f>
        <v>0</v>
      </c>
    </row>
    <row r="871" spans="1:4" ht="14.25">
      <c r="A871" s="96" t="s">
        <v>578</v>
      </c>
      <c r="B871" s="588"/>
      <c r="C871" s="393"/>
      <c r="D871" s="419"/>
    </row>
    <row r="872" spans="1:8" ht="14.25">
      <c r="A872" s="96" t="s">
        <v>579</v>
      </c>
      <c r="B872" s="588"/>
      <c r="C872" s="393"/>
      <c r="D872" s="419"/>
      <c r="E872" s="274"/>
      <c r="F872" s="274"/>
      <c r="G872" s="274"/>
      <c r="H872" s="274"/>
    </row>
    <row r="873" spans="1:4" ht="14.25">
      <c r="A873" s="96" t="s">
        <v>1228</v>
      </c>
      <c r="B873" s="588"/>
      <c r="C873" s="393"/>
      <c r="D873" s="419"/>
    </row>
    <row r="874" spans="1:4" ht="14.25">
      <c r="A874" s="96" t="s">
        <v>1224</v>
      </c>
      <c r="B874" s="588"/>
      <c r="C874" s="393">
        <f>SUM(C876:C878)</f>
        <v>0</v>
      </c>
      <c r="D874" s="419">
        <f>SUM(D876:D878)</f>
        <v>0</v>
      </c>
    </row>
    <row r="875" spans="1:4" ht="14.25">
      <c r="A875" s="96" t="s">
        <v>1225</v>
      </c>
      <c r="B875" s="588"/>
      <c r="C875" s="393"/>
      <c r="D875" s="419"/>
    </row>
    <row r="876" spans="1:4" ht="14.25">
      <c r="A876" s="96" t="s">
        <v>578</v>
      </c>
      <c r="B876" s="588"/>
      <c r="C876" s="393"/>
      <c r="D876" s="419"/>
    </row>
    <row r="877" spans="1:4" ht="14.25">
      <c r="A877" s="96" t="s">
        <v>579</v>
      </c>
      <c r="B877" s="588"/>
      <c r="C877" s="393"/>
      <c r="D877" s="419"/>
    </row>
    <row r="878" spans="1:8" s="274" customFormat="1" ht="14.25">
      <c r="A878" s="96" t="s">
        <v>1228</v>
      </c>
      <c r="B878" s="588"/>
      <c r="C878" s="393"/>
      <c r="D878" s="419"/>
      <c r="E878"/>
      <c r="F878"/>
      <c r="G878"/>
      <c r="H878"/>
    </row>
    <row r="879" spans="1:4" ht="32.25" customHeight="1">
      <c r="A879" s="96" t="s">
        <v>348</v>
      </c>
      <c r="B879" s="588"/>
      <c r="C879" s="393"/>
      <c r="D879" s="419"/>
    </row>
    <row r="880" spans="1:4" ht="30">
      <c r="A880" s="252" t="s">
        <v>1230</v>
      </c>
      <c r="B880" s="611"/>
      <c r="C880" s="556">
        <f>C881+C885+C889</f>
        <v>0</v>
      </c>
      <c r="D880" s="557">
        <f>D881+D885+D889</f>
        <v>0</v>
      </c>
    </row>
    <row r="881" spans="1:4" ht="14.25">
      <c r="A881" s="96" t="s">
        <v>1222</v>
      </c>
      <c r="B881" s="588"/>
      <c r="C881" s="393">
        <f>SUM(C882:C884)</f>
        <v>0</v>
      </c>
      <c r="D881" s="419">
        <f>SUM(D882:D884)</f>
        <v>0</v>
      </c>
    </row>
    <row r="882" spans="1:4" ht="14.25">
      <c r="A882" s="96" t="s">
        <v>578</v>
      </c>
      <c r="B882" s="588"/>
      <c r="C882" s="393"/>
      <c r="D882" s="419"/>
    </row>
    <row r="883" spans="1:4" ht="14.25">
      <c r="A883" s="96" t="s">
        <v>579</v>
      </c>
      <c r="B883" s="588"/>
      <c r="C883" s="393"/>
      <c r="D883" s="419"/>
    </row>
    <row r="884" spans="1:4" ht="14.25">
      <c r="A884" s="96" t="s">
        <v>1228</v>
      </c>
      <c r="B884" s="588"/>
      <c r="C884" s="393"/>
      <c r="D884" s="419"/>
    </row>
    <row r="885" spans="1:4" ht="14.25">
      <c r="A885" s="96" t="s">
        <v>1223</v>
      </c>
      <c r="B885" s="588"/>
      <c r="C885" s="393">
        <f>SUM(C886:C888)</f>
        <v>0</v>
      </c>
      <c r="D885" s="419">
        <f>D887</f>
        <v>0</v>
      </c>
    </row>
    <row r="886" spans="1:4" ht="14.25">
      <c r="A886" s="96" t="s">
        <v>578</v>
      </c>
      <c r="B886" s="588"/>
      <c r="C886" s="393"/>
      <c r="D886" s="419"/>
    </row>
    <row r="887" spans="1:4" ht="14.25">
      <c r="A887" s="96" t="s">
        <v>579</v>
      </c>
      <c r="B887" s="588"/>
      <c r="C887" s="393"/>
      <c r="D887" s="419"/>
    </row>
    <row r="888" spans="1:4" ht="14.25">
      <c r="A888" s="96" t="s">
        <v>1228</v>
      </c>
      <c r="B888" s="588"/>
      <c r="C888" s="393"/>
      <c r="D888" s="419"/>
    </row>
    <row r="889" spans="1:4" ht="14.25">
      <c r="A889" s="96" t="s">
        <v>1224</v>
      </c>
      <c r="B889" s="588"/>
      <c r="C889" s="393">
        <f>SUM(C891:C893)</f>
        <v>0</v>
      </c>
      <c r="D889" s="419">
        <f>SUM(D891:D893)</f>
        <v>0</v>
      </c>
    </row>
    <row r="890" spans="1:4" ht="14.25">
      <c r="A890" s="96" t="s">
        <v>1225</v>
      </c>
      <c r="B890" s="588"/>
      <c r="C890" s="393"/>
      <c r="D890" s="419"/>
    </row>
    <row r="891" spans="1:4" ht="14.25">
      <c r="A891" s="96" t="s">
        <v>578</v>
      </c>
      <c r="B891" s="588"/>
      <c r="C891" s="393"/>
      <c r="D891" s="419"/>
    </row>
    <row r="892" spans="1:4" ht="14.25">
      <c r="A892" s="96" t="s">
        <v>579</v>
      </c>
      <c r="B892" s="588"/>
      <c r="C892" s="393"/>
      <c r="D892" s="419"/>
    </row>
    <row r="893" spans="1:4" ht="14.25">
      <c r="A893" s="96" t="s">
        <v>1228</v>
      </c>
      <c r="B893" s="588"/>
      <c r="C893" s="393"/>
      <c r="D893" s="419"/>
    </row>
    <row r="894" spans="1:4" ht="14.25">
      <c r="A894" s="96" t="s">
        <v>348</v>
      </c>
      <c r="B894" s="588"/>
      <c r="C894" s="393"/>
      <c r="D894" s="419"/>
    </row>
    <row r="895" spans="1:4" ht="30">
      <c r="A895" s="252" t="s">
        <v>1231</v>
      </c>
      <c r="B895" s="611"/>
      <c r="C895" s="556">
        <f>C896+C900+C904</f>
        <v>0</v>
      </c>
      <c r="D895" s="557">
        <f>D896+D900+D904</f>
        <v>6816</v>
      </c>
    </row>
    <row r="896" spans="1:4" ht="14.25">
      <c r="A896" s="96" t="s">
        <v>1222</v>
      </c>
      <c r="B896" s="588"/>
      <c r="C896" s="393"/>
      <c r="D896" s="419">
        <v>1174</v>
      </c>
    </row>
    <row r="897" spans="1:4" ht="14.25">
      <c r="A897" s="96" t="s">
        <v>578</v>
      </c>
      <c r="B897" s="588"/>
      <c r="C897" s="393"/>
      <c r="D897" s="419"/>
    </row>
    <row r="898" spans="1:4" ht="14.25">
      <c r="A898" s="96" t="s">
        <v>579</v>
      </c>
      <c r="B898" s="588"/>
      <c r="C898" s="393"/>
      <c r="D898" s="419"/>
    </row>
    <row r="899" spans="1:4" ht="14.25">
      <c r="A899" s="96" t="s">
        <v>1228</v>
      </c>
      <c r="B899" s="588"/>
      <c r="C899" s="393"/>
      <c r="D899" s="419">
        <v>1174</v>
      </c>
    </row>
    <row r="900" spans="1:4" ht="14.25">
      <c r="A900" s="96" t="s">
        <v>1223</v>
      </c>
      <c r="B900" s="588"/>
      <c r="C900" s="393">
        <f>C902</f>
        <v>0</v>
      </c>
      <c r="D900" s="419">
        <f>D902</f>
        <v>5642</v>
      </c>
    </row>
    <row r="901" spans="1:4" ht="14.25">
      <c r="A901" s="96" t="s">
        <v>578</v>
      </c>
      <c r="B901" s="588"/>
      <c r="C901" s="393"/>
      <c r="D901" s="419">
        <v>5642</v>
      </c>
    </row>
    <row r="902" spans="1:4" ht="14.25">
      <c r="A902" s="96" t="s">
        <v>579</v>
      </c>
      <c r="B902" s="588"/>
      <c r="C902" s="393"/>
      <c r="D902" s="419">
        <v>5642</v>
      </c>
    </row>
    <row r="903" spans="1:4" ht="14.25">
      <c r="A903" s="96" t="s">
        <v>1228</v>
      </c>
      <c r="B903" s="588"/>
      <c r="C903" s="393"/>
      <c r="D903" s="419">
        <v>5456</v>
      </c>
    </row>
    <row r="904" spans="1:4" ht="14.25">
      <c r="A904" s="96" t="s">
        <v>1224</v>
      </c>
      <c r="B904" s="588"/>
      <c r="C904" s="393">
        <f>SUM(C906:C908)</f>
        <v>0</v>
      </c>
      <c r="D904" s="419">
        <f>SUM(D906:D908)</f>
        <v>0</v>
      </c>
    </row>
    <row r="905" spans="1:4" ht="14.25">
      <c r="A905" s="96" t="s">
        <v>74</v>
      </c>
      <c r="B905" s="588"/>
      <c r="C905" s="393"/>
      <c r="D905" s="419">
        <f>D907</f>
        <v>0</v>
      </c>
    </row>
    <row r="906" spans="1:4" ht="14.25">
      <c r="A906" s="96" t="s">
        <v>578</v>
      </c>
      <c r="B906" s="588"/>
      <c r="C906" s="393"/>
      <c r="D906" s="419"/>
    </row>
    <row r="907" spans="1:4" ht="14.25">
      <c r="A907" s="96" t="s">
        <v>579</v>
      </c>
      <c r="B907" s="588"/>
      <c r="C907" s="393"/>
      <c r="D907" s="419"/>
    </row>
    <row r="908" spans="1:4" ht="14.25">
      <c r="A908" s="96" t="s">
        <v>1228</v>
      </c>
      <c r="B908" s="588"/>
      <c r="C908" s="393"/>
      <c r="D908" s="419"/>
    </row>
    <row r="909" spans="1:4" ht="14.25">
      <c r="A909" s="96" t="s">
        <v>348</v>
      </c>
      <c r="B909" s="588"/>
      <c r="C909" s="393"/>
      <c r="D909" s="419"/>
    </row>
    <row r="910" spans="1:4" ht="15">
      <c r="A910" s="252" t="s">
        <v>1232</v>
      </c>
      <c r="B910" s="589"/>
      <c r="C910" s="474">
        <f>C911+C915+C919</f>
        <v>0</v>
      </c>
      <c r="D910" s="475">
        <f>D911+D915+D919</f>
        <v>0</v>
      </c>
    </row>
    <row r="911" spans="1:4" ht="14.25">
      <c r="A911" s="96" t="s">
        <v>1233</v>
      </c>
      <c r="B911" s="588"/>
      <c r="C911" s="393">
        <f>SUM(C912:C914)</f>
        <v>0</v>
      </c>
      <c r="D911" s="419">
        <f>SUM(D912:D914)</f>
        <v>0</v>
      </c>
    </row>
    <row r="912" spans="1:4" ht="14.25">
      <c r="A912" s="96" t="s">
        <v>578</v>
      </c>
      <c r="B912" s="588"/>
      <c r="C912" s="393"/>
      <c r="D912" s="419"/>
    </row>
    <row r="913" spans="1:4" ht="14.25">
      <c r="A913" s="96" t="s">
        <v>579</v>
      </c>
      <c r="B913" s="588"/>
      <c r="C913" s="393"/>
      <c r="D913" s="419"/>
    </row>
    <row r="914" spans="1:4" ht="14.25">
      <c r="A914" s="96" t="s">
        <v>1228</v>
      </c>
      <c r="B914" s="588"/>
      <c r="C914" s="393"/>
      <c r="D914" s="419"/>
    </row>
    <row r="915" spans="1:4" ht="14.25">
      <c r="A915" s="96" t="s">
        <v>1223</v>
      </c>
      <c r="B915" s="588"/>
      <c r="C915" s="393">
        <f>SUM(C916:C918)</f>
        <v>0</v>
      </c>
      <c r="D915" s="419">
        <f>SUM(D916:D918)</f>
        <v>0</v>
      </c>
    </row>
    <row r="916" spans="1:4" ht="14.25">
      <c r="A916" s="96" t="s">
        <v>578</v>
      </c>
      <c r="B916" s="588"/>
      <c r="C916" s="393"/>
      <c r="D916" s="419"/>
    </row>
    <row r="917" spans="1:4" ht="14.25">
      <c r="A917" s="96" t="s">
        <v>579</v>
      </c>
      <c r="B917" s="588"/>
      <c r="C917" s="393"/>
      <c r="D917" s="419"/>
    </row>
    <row r="918" spans="1:4" ht="14.25">
      <c r="A918" s="96" t="s">
        <v>1228</v>
      </c>
      <c r="B918" s="588"/>
      <c r="C918" s="393"/>
      <c r="D918" s="419"/>
    </row>
    <row r="919" spans="1:4" ht="14.25">
      <c r="A919" s="96" t="s">
        <v>1224</v>
      </c>
      <c r="B919" s="588"/>
      <c r="C919" s="393">
        <f>SUM(C921:C924)</f>
        <v>0</v>
      </c>
      <c r="D919" s="419">
        <f>SUM(D921:D924)</f>
        <v>0</v>
      </c>
    </row>
    <row r="920" spans="1:4" ht="14.25">
      <c r="A920" s="96" t="s">
        <v>1225</v>
      </c>
      <c r="B920" s="588"/>
      <c r="C920" s="393"/>
      <c r="D920" s="419"/>
    </row>
    <row r="921" spans="1:4" ht="14.25">
      <c r="A921" s="96" t="s">
        <v>578</v>
      </c>
      <c r="B921" s="588"/>
      <c r="C921" s="393"/>
      <c r="D921" s="419"/>
    </row>
    <row r="922" spans="1:4" ht="14.25">
      <c r="A922" s="96" t="s">
        <v>579</v>
      </c>
      <c r="B922" s="588"/>
      <c r="C922" s="393"/>
      <c r="D922" s="419"/>
    </row>
    <row r="923" spans="1:4" ht="14.25">
      <c r="A923" s="96" t="s">
        <v>1228</v>
      </c>
      <c r="B923" s="588"/>
      <c r="C923" s="393"/>
      <c r="D923" s="419"/>
    </row>
    <row r="924" spans="1:4" ht="14.25">
      <c r="A924" s="96" t="s">
        <v>348</v>
      </c>
      <c r="B924" s="588"/>
      <c r="C924" s="393"/>
      <c r="D924" s="419"/>
    </row>
    <row r="925" spans="1:4" ht="14.25">
      <c r="A925" s="96" t="s">
        <v>1234</v>
      </c>
      <c r="B925" s="588"/>
      <c r="C925" s="393">
        <f>C884+C888+C893+C899+C903+C908+C914+C918+C923</f>
        <v>0</v>
      </c>
      <c r="D925" s="419">
        <f>D884+D888+D893+D899+D903+D908+D914+D918+D923+D873</f>
        <v>6630</v>
      </c>
    </row>
    <row r="926" spans="1:4" ht="14.25">
      <c r="A926" s="96" t="s">
        <v>1235</v>
      </c>
      <c r="B926" s="588"/>
      <c r="C926" s="393"/>
      <c r="D926" s="419">
        <f>D865+D880+D895+D910</f>
        <v>6816</v>
      </c>
    </row>
    <row r="927" spans="1:4" ht="14.25">
      <c r="A927" s="96" t="s">
        <v>1236</v>
      </c>
      <c r="B927" s="588"/>
      <c r="C927" s="393"/>
      <c r="D927" s="419"/>
    </row>
    <row r="928" spans="1:4" ht="15.75" thickBot="1">
      <c r="A928" s="255" t="s">
        <v>1237</v>
      </c>
      <c r="B928" s="592"/>
      <c r="C928" s="425">
        <v>0</v>
      </c>
      <c r="D928" s="465">
        <f>D926+D927</f>
        <v>6816</v>
      </c>
    </row>
    <row r="929" spans="1:4" ht="14.25">
      <c r="A929" s="359"/>
      <c r="B929" s="488"/>
      <c r="C929" s="618"/>
      <c r="D929" s="681"/>
    </row>
    <row r="930" spans="1:4" ht="14.25">
      <c r="A930" s="359"/>
      <c r="B930" s="357"/>
      <c r="C930" s="686"/>
      <c r="D930" s="683"/>
    </row>
    <row r="931" spans="1:4" ht="15.75" thickBot="1">
      <c r="A931" s="213" t="s">
        <v>62</v>
      </c>
      <c r="B931" s="376"/>
      <c r="C931" s="376"/>
      <c r="D931" s="412"/>
    </row>
    <row r="932" spans="1:4" s="448" customFormat="1" ht="30">
      <c r="A932" s="442" t="s">
        <v>581</v>
      </c>
      <c r="B932" s="567"/>
      <c r="C932" s="443">
        <v>2002</v>
      </c>
      <c r="D932" s="444">
        <v>2001</v>
      </c>
    </row>
    <row r="933" spans="1:4" ht="14.25">
      <c r="A933" s="96" t="s">
        <v>230</v>
      </c>
      <c r="B933" s="568"/>
      <c r="C933" s="363">
        <f>C839+C830+C794+C812</f>
        <v>2820</v>
      </c>
      <c r="D933" s="629">
        <f>D839+D830+D812+D794</f>
        <v>5124</v>
      </c>
    </row>
    <row r="934" spans="1:4" ht="14.25">
      <c r="A934" s="96" t="s">
        <v>231</v>
      </c>
      <c r="B934" s="568"/>
      <c r="C934" s="393">
        <f>C935+C938</f>
        <v>0</v>
      </c>
      <c r="D934" s="364">
        <f>D935+D938</f>
        <v>0</v>
      </c>
    </row>
    <row r="935" spans="1:4" ht="14.25">
      <c r="A935" s="96" t="s">
        <v>232</v>
      </c>
      <c r="B935" s="568"/>
      <c r="C935" s="393"/>
      <c r="D935" s="364"/>
    </row>
    <row r="936" spans="1:4" ht="14.25">
      <c r="A936" s="96" t="s">
        <v>233</v>
      </c>
      <c r="B936" s="568"/>
      <c r="C936" s="393"/>
      <c r="D936" s="364"/>
    </row>
    <row r="937" spans="1:4" ht="14.25">
      <c r="A937" s="96" t="s">
        <v>348</v>
      </c>
      <c r="B937" s="568"/>
      <c r="C937" s="393"/>
      <c r="D937" s="364"/>
    </row>
    <row r="938" spans="1:4" ht="14.25">
      <c r="A938" s="96" t="s">
        <v>234</v>
      </c>
      <c r="B938" s="568"/>
      <c r="C938" s="393"/>
      <c r="D938" s="364"/>
    </row>
    <row r="939" spans="1:4" ht="15.75" thickBot="1">
      <c r="A939" s="255" t="s">
        <v>580</v>
      </c>
      <c r="B939" s="569"/>
      <c r="C939" s="425">
        <f>C934+C933</f>
        <v>2820</v>
      </c>
      <c r="D939" s="465">
        <f>D934+D933</f>
        <v>5124</v>
      </c>
    </row>
    <row r="940" spans="1:8" ht="14.25">
      <c r="A940" s="359"/>
      <c r="B940" s="612"/>
      <c r="C940" s="483"/>
      <c r="D940" s="509"/>
      <c r="E940" s="274"/>
      <c r="F940" s="274"/>
      <c r="G940" s="274"/>
      <c r="H940" s="274"/>
    </row>
    <row r="941" spans="1:4" ht="14.25">
      <c r="A941" s="359"/>
      <c r="B941" s="357"/>
      <c r="C941" s="358"/>
      <c r="D941" s="386"/>
    </row>
    <row r="942" spans="1:4" ht="15.75" thickBot="1">
      <c r="A942" s="213" t="s">
        <v>63</v>
      </c>
      <c r="B942" s="376"/>
      <c r="C942" s="376"/>
      <c r="D942" s="412"/>
    </row>
    <row r="943" spans="1:4" s="448" customFormat="1" ht="30">
      <c r="A943" s="442" t="s">
        <v>582</v>
      </c>
      <c r="B943" s="567"/>
      <c r="C943" s="443">
        <v>2002</v>
      </c>
      <c r="D943" s="444">
        <v>2001</v>
      </c>
    </row>
    <row r="944" spans="1:4" ht="14.25">
      <c r="A944" s="583" t="s">
        <v>230</v>
      </c>
      <c r="B944" s="597"/>
      <c r="C944" s="423">
        <f>C842-C945</f>
        <v>6343</v>
      </c>
      <c r="D944" s="468">
        <f>D842</f>
        <v>10944</v>
      </c>
    </row>
    <row r="945" spans="1:4" ht="14.25">
      <c r="A945" s="96" t="s">
        <v>231</v>
      </c>
      <c r="B945" s="577"/>
      <c r="C945" s="423">
        <f>C947+C949</f>
        <v>319</v>
      </c>
      <c r="D945" s="378"/>
    </row>
    <row r="946" spans="1:8" s="274" customFormat="1" ht="14.25">
      <c r="A946" s="96" t="s">
        <v>141</v>
      </c>
      <c r="B946" s="577"/>
      <c r="C946" s="423">
        <f>12+25</f>
        <v>37</v>
      </c>
      <c r="D946" s="378"/>
      <c r="E946"/>
      <c r="F946"/>
      <c r="G946"/>
      <c r="H946"/>
    </row>
    <row r="947" spans="1:4" ht="14.25">
      <c r="A947" s="96" t="s">
        <v>233</v>
      </c>
      <c r="B947" s="577"/>
      <c r="C947" s="423">
        <f>47+97</f>
        <v>144</v>
      </c>
      <c r="D947" s="378"/>
    </row>
    <row r="948" spans="1:4" ht="14.25">
      <c r="A948" s="96" t="s">
        <v>126</v>
      </c>
      <c r="B948" s="577"/>
      <c r="C948" s="423">
        <v>46</v>
      </c>
      <c r="D948" s="378"/>
    </row>
    <row r="949" spans="1:4" ht="14.25">
      <c r="A949" s="96" t="s">
        <v>233</v>
      </c>
      <c r="B949" s="577"/>
      <c r="C949" s="423">
        <v>175</v>
      </c>
      <c r="D949" s="378"/>
    </row>
    <row r="950" spans="1:4" ht="14.25">
      <c r="A950" s="96" t="s">
        <v>234</v>
      </c>
      <c r="B950" s="577"/>
      <c r="C950" s="423"/>
      <c r="D950" s="378"/>
    </row>
    <row r="951" spans="1:4" ht="15.75" thickBot="1">
      <c r="A951" s="255" t="s">
        <v>583</v>
      </c>
      <c r="B951" s="599"/>
      <c r="C951" s="463">
        <f>C944+C945</f>
        <v>6662</v>
      </c>
      <c r="D951" s="464">
        <f>D944+D945</f>
        <v>10944</v>
      </c>
    </row>
    <row r="952" spans="1:8" ht="14.25">
      <c r="A952" s="359"/>
      <c r="B952" s="612"/>
      <c r="C952" s="488"/>
      <c r="D952" s="488"/>
      <c r="E952" s="274"/>
      <c r="F952" s="274"/>
      <c r="G952" s="274"/>
      <c r="H952" s="274"/>
    </row>
    <row r="953" spans="1:4" ht="14.25">
      <c r="A953" s="359"/>
      <c r="B953" s="357"/>
      <c r="C953" s="358"/>
      <c r="D953" s="386"/>
    </row>
    <row r="954" spans="1:4" ht="15.75" thickBot="1">
      <c r="A954" s="213" t="s">
        <v>64</v>
      </c>
      <c r="B954" s="376"/>
      <c r="C954" s="376"/>
      <c r="D954" s="412"/>
    </row>
    <row r="955" spans="1:4" s="448" customFormat="1" ht="15">
      <c r="A955" s="442" t="s">
        <v>584</v>
      </c>
      <c r="B955" s="567"/>
      <c r="C955" s="443">
        <v>2002</v>
      </c>
      <c r="D955" s="444">
        <v>2001</v>
      </c>
    </row>
    <row r="956" spans="1:4" ht="14.25">
      <c r="A956" s="96"/>
      <c r="B956" s="577"/>
      <c r="C956" s="408"/>
      <c r="D956" s="378"/>
    </row>
    <row r="957" spans="1:4" ht="14.25">
      <c r="A957" s="96"/>
      <c r="B957" s="577"/>
      <c r="C957" s="408"/>
      <c r="D957" s="378"/>
    </row>
    <row r="958" spans="1:8" s="274" customFormat="1" ht="14.25">
      <c r="A958" s="96"/>
      <c r="B958" s="577"/>
      <c r="C958" s="408"/>
      <c r="D958" s="378"/>
      <c r="E958"/>
      <c r="F958"/>
      <c r="G958"/>
      <c r="H958"/>
    </row>
    <row r="959" spans="1:4" ht="14.25">
      <c r="A959" s="96"/>
      <c r="B959" s="577"/>
      <c r="C959" s="408"/>
      <c r="D959" s="378"/>
    </row>
    <row r="960" spans="1:4" ht="14.25">
      <c r="A960" s="96"/>
      <c r="B960" s="577"/>
      <c r="C960" s="408"/>
      <c r="D960" s="378"/>
    </row>
    <row r="961" spans="1:4" ht="15.75" thickBot="1">
      <c r="A961" s="255" t="s">
        <v>585</v>
      </c>
      <c r="B961" s="599"/>
      <c r="C961" s="409"/>
      <c r="D961" s="410"/>
    </row>
    <row r="962" spans="1:4" ht="14.25">
      <c r="A962" s="359"/>
      <c r="B962" s="357"/>
      <c r="C962" s="488"/>
      <c r="D962" s="488"/>
    </row>
    <row r="963" spans="1:8" ht="14.25">
      <c r="A963" s="359"/>
      <c r="B963" s="357"/>
      <c r="C963" s="358"/>
      <c r="D963" s="386"/>
      <c r="E963" s="274"/>
      <c r="F963" s="274"/>
      <c r="G963" s="274"/>
      <c r="H963" s="274"/>
    </row>
    <row r="964" spans="1:4" ht="15.75" thickBot="1">
      <c r="A964" s="213" t="s">
        <v>65</v>
      </c>
      <c r="B964" s="376"/>
      <c r="C964" s="376"/>
      <c r="D964" s="412"/>
    </row>
    <row r="965" spans="1:4" s="448" customFormat="1" ht="30">
      <c r="A965" s="442" t="s">
        <v>799</v>
      </c>
      <c r="B965" s="567"/>
      <c r="C965" s="443">
        <v>2002</v>
      </c>
      <c r="D965" s="444">
        <v>2001</v>
      </c>
    </row>
    <row r="966" spans="1:4" ht="14.25">
      <c r="A966" s="96" t="s">
        <v>230</v>
      </c>
      <c r="B966" s="577"/>
      <c r="C966" s="408"/>
      <c r="D966" s="378"/>
    </row>
    <row r="967" spans="1:4" ht="14.25">
      <c r="A967" s="96" t="s">
        <v>231</v>
      </c>
      <c r="B967" s="577"/>
      <c r="C967" s="408">
        <f>C969+C971</f>
        <v>0</v>
      </c>
      <c r="D967" s="378">
        <f>D969+D971</f>
        <v>0</v>
      </c>
    </row>
    <row r="968" spans="1:4" ht="14.25">
      <c r="A968" s="96" t="s">
        <v>232</v>
      </c>
      <c r="B968" s="577"/>
      <c r="C968" s="408"/>
      <c r="D968" s="378"/>
    </row>
    <row r="969" spans="1:8" s="274" customFormat="1" ht="14.25">
      <c r="A969" s="96" t="s">
        <v>233</v>
      </c>
      <c r="B969" s="577"/>
      <c r="C969" s="408"/>
      <c r="D969" s="378"/>
      <c r="E969"/>
      <c r="F969"/>
      <c r="G969"/>
      <c r="H969"/>
    </row>
    <row r="970" spans="1:4" ht="14.25">
      <c r="A970" s="96" t="s">
        <v>348</v>
      </c>
      <c r="B970" s="577"/>
      <c r="C970" s="408"/>
      <c r="D970" s="378"/>
    </row>
    <row r="971" spans="1:4" ht="14.25">
      <c r="A971" s="96" t="s">
        <v>234</v>
      </c>
      <c r="B971" s="577"/>
      <c r="C971" s="408"/>
      <c r="D971" s="378"/>
    </row>
    <row r="972" spans="1:4" ht="15.75" thickBot="1">
      <c r="A972" s="255" t="s">
        <v>585</v>
      </c>
      <c r="B972" s="599"/>
      <c r="C972" s="409">
        <f>C966+C967</f>
        <v>0</v>
      </c>
      <c r="D972" s="410">
        <f>D966+D967</f>
        <v>0</v>
      </c>
    </row>
    <row r="973" spans="1:4" ht="14.25">
      <c r="A973" s="359"/>
      <c r="B973" s="357"/>
      <c r="C973" s="488"/>
      <c r="D973" s="488"/>
    </row>
    <row r="974" spans="1:4" ht="14.25">
      <c r="A974" s="359"/>
      <c r="B974" s="357"/>
      <c r="C974" s="358"/>
      <c r="D974" s="386"/>
    </row>
    <row r="975" spans="1:4" ht="15.75" thickBot="1">
      <c r="A975" s="213" t="s">
        <v>586</v>
      </c>
      <c r="B975" s="407"/>
      <c r="C975" s="407"/>
      <c r="D975" s="418"/>
    </row>
    <row r="976" spans="1:8" s="448" customFormat="1" ht="15">
      <c r="A976" s="442" t="s">
        <v>800</v>
      </c>
      <c r="B976" s="567"/>
      <c r="C976" s="443">
        <v>2002</v>
      </c>
      <c r="D976" s="444">
        <v>2001</v>
      </c>
      <c r="E976" s="445"/>
      <c r="F976" s="445"/>
      <c r="G976" s="445"/>
      <c r="H976" s="445"/>
    </row>
    <row r="977" spans="1:4" ht="14.25">
      <c r="A977" s="253" t="s">
        <v>1260</v>
      </c>
      <c r="B977" s="588"/>
      <c r="C977" s="393">
        <f>SUM(C978:C979)</f>
        <v>369</v>
      </c>
      <c r="D977" s="393">
        <f>SUM(D978:D979)</f>
        <v>100</v>
      </c>
    </row>
    <row r="978" spans="1:4" ht="14.25">
      <c r="A978" s="253" t="s">
        <v>782</v>
      </c>
      <c r="B978" s="614"/>
      <c r="C978" s="424">
        <v>208</v>
      </c>
      <c r="D978" s="461"/>
    </row>
    <row r="979" spans="1:4" ht="14.25">
      <c r="A979" s="253" t="s">
        <v>738</v>
      </c>
      <c r="B979" s="614"/>
      <c r="C979" s="424">
        <f>4+33+5+80+39</f>
        <v>161</v>
      </c>
      <c r="D979" s="461">
        <f>91+9</f>
        <v>100</v>
      </c>
    </row>
    <row r="980" spans="1:8" s="274" customFormat="1" ht="14.25">
      <c r="A980" s="253" t="s">
        <v>1261</v>
      </c>
      <c r="B980" s="588"/>
      <c r="C980" s="393">
        <f>SUM(C981:C981)</f>
        <v>106</v>
      </c>
      <c r="D980" s="419">
        <f>D981</f>
        <v>10</v>
      </c>
      <c r="E980"/>
      <c r="F980"/>
      <c r="G980"/>
      <c r="H980"/>
    </row>
    <row r="981" spans="1:8" s="274" customFormat="1" ht="14.25">
      <c r="A981" s="253" t="s">
        <v>486</v>
      </c>
      <c r="B981" s="588"/>
      <c r="C981" s="393">
        <f>92+14</f>
        <v>106</v>
      </c>
      <c r="D981" s="419">
        <v>10</v>
      </c>
      <c r="E981"/>
      <c r="F981"/>
      <c r="G981"/>
      <c r="H981"/>
    </row>
    <row r="982" spans="1:4" ht="15.75" thickBot="1">
      <c r="A982" s="613" t="s">
        <v>213</v>
      </c>
      <c r="B982" s="592"/>
      <c r="C982" s="425">
        <f>C977+C980</f>
        <v>475</v>
      </c>
      <c r="D982" s="465">
        <f>D977+D980</f>
        <v>110</v>
      </c>
    </row>
    <row r="983" spans="1:4" ht="14.25">
      <c r="A983" s="359"/>
      <c r="B983" s="488"/>
      <c r="C983" s="687"/>
      <c r="D983" s="687"/>
    </row>
    <row r="984" spans="1:4" ht="14.25">
      <c r="A984" s="359"/>
      <c r="B984" s="357"/>
      <c r="C984" s="358"/>
      <c r="D984" s="386"/>
    </row>
    <row r="985" spans="1:8" ht="15">
      <c r="A985" s="213" t="s">
        <v>908</v>
      </c>
      <c r="B985" s="400"/>
      <c r="C985" s="358"/>
      <c r="D985" s="386"/>
      <c r="E985" s="274"/>
      <c r="F985" s="274"/>
      <c r="G985" s="274"/>
      <c r="H985" s="274"/>
    </row>
    <row r="986" spans="1:4" ht="15">
      <c r="A986" s="213" t="s">
        <v>902</v>
      </c>
      <c r="B986" s="400"/>
      <c r="C986" s="358"/>
      <c r="D986" s="386"/>
    </row>
    <row r="987" spans="1:4" ht="14.25">
      <c r="A987" s="384"/>
      <c r="B987" s="400"/>
      <c r="C987" s="358"/>
      <c r="D987" s="386"/>
    </row>
    <row r="988" spans="1:4" ht="28.5">
      <c r="A988" s="260" t="s">
        <v>214</v>
      </c>
      <c r="B988" s="400"/>
      <c r="C988" s="358"/>
      <c r="D988" s="386"/>
    </row>
    <row r="989" spans="1:4" ht="28.5">
      <c r="A989" s="260" t="s">
        <v>215</v>
      </c>
      <c r="B989" s="400"/>
      <c r="C989" s="358"/>
      <c r="D989" s="386"/>
    </row>
    <row r="990" spans="1:4" ht="28.5">
      <c r="A990" s="260" t="s">
        <v>216</v>
      </c>
      <c r="B990" s="400"/>
      <c r="C990" s="358"/>
      <c r="D990" s="386"/>
    </row>
    <row r="991" spans="1:8" s="274" customFormat="1" ht="28.5">
      <c r="A991" s="260" t="s">
        <v>217</v>
      </c>
      <c r="B991" s="400"/>
      <c r="C991" s="358"/>
      <c r="D991" s="386"/>
      <c r="E991"/>
      <c r="F991"/>
      <c r="G991"/>
      <c r="H991"/>
    </row>
    <row r="992" spans="1:4" ht="28.5">
      <c r="A992" s="260" t="s">
        <v>906</v>
      </c>
      <c r="B992" s="426"/>
      <c r="C992" s="358"/>
      <c r="D992" s="386"/>
    </row>
    <row r="993" spans="1:4" ht="14.25">
      <c r="A993" s="260" t="s">
        <v>907</v>
      </c>
      <c r="B993" s="400"/>
      <c r="C993" s="358"/>
      <c r="D993" s="386"/>
    </row>
    <row r="994" spans="1:4" ht="14.25">
      <c r="A994" s="384"/>
      <c r="B994" s="400"/>
      <c r="C994" s="358"/>
      <c r="D994" s="386"/>
    </row>
    <row r="995" spans="1:4" ht="14.25">
      <c r="A995" s="359"/>
      <c r="B995" s="357"/>
      <c r="C995" s="358"/>
      <c r="D995" s="386"/>
    </row>
    <row r="996" spans="1:4" ht="15.75" thickBot="1">
      <c r="A996" s="213" t="s">
        <v>619</v>
      </c>
      <c r="B996" s="376"/>
      <c r="C996" s="376"/>
      <c r="D996" s="412"/>
    </row>
    <row r="997" spans="1:4" s="448" customFormat="1" ht="15">
      <c r="A997" s="442" t="s">
        <v>612</v>
      </c>
      <c r="B997" s="567"/>
      <c r="C997" s="443">
        <v>2002</v>
      </c>
      <c r="D997" s="444">
        <v>2001</v>
      </c>
    </row>
    <row r="998" spans="1:4" ht="14.25">
      <c r="A998" s="96" t="s">
        <v>613</v>
      </c>
      <c r="B998" s="568"/>
      <c r="C998" s="363">
        <f>22050</f>
        <v>22050</v>
      </c>
      <c r="D998" s="364">
        <f>22050</f>
        <v>22050</v>
      </c>
    </row>
    <row r="999" spans="1:4" ht="14.25">
      <c r="A999" s="96" t="s">
        <v>614</v>
      </c>
      <c r="B999" s="588"/>
      <c r="C999" s="363"/>
      <c r="D999" s="364"/>
    </row>
    <row r="1000" spans="1:4" ht="28.5">
      <c r="A1000" s="96" t="s">
        <v>615</v>
      </c>
      <c r="B1000" s="588"/>
      <c r="C1000" s="363"/>
      <c r="D1000" s="364"/>
    </row>
    <row r="1001" spans="1:4" ht="14.25">
      <c r="A1001" s="96" t="s">
        <v>616</v>
      </c>
      <c r="B1001" s="568"/>
      <c r="C1001" s="363"/>
      <c r="D1001" s="364"/>
    </row>
    <row r="1002" spans="1:4" ht="14.25">
      <c r="A1002" s="96" t="s">
        <v>617</v>
      </c>
      <c r="B1002" s="568"/>
      <c r="C1002" s="363"/>
      <c r="D1002" s="364"/>
    </row>
    <row r="1003" spans="1:4" ht="15.75" thickBot="1">
      <c r="A1003" s="255" t="s">
        <v>618</v>
      </c>
      <c r="B1003" s="569"/>
      <c r="C1003" s="425">
        <f>SUM(C998:C1002)</f>
        <v>22050</v>
      </c>
      <c r="D1003" s="465">
        <f>SUM(D998:D1002)</f>
        <v>22050</v>
      </c>
    </row>
    <row r="1004" spans="1:4" ht="14.25">
      <c r="A1004" s="359"/>
      <c r="B1004" s="482"/>
      <c r="C1004" s="483"/>
      <c r="D1004" s="482"/>
    </row>
    <row r="1005" spans="1:8" ht="14.25">
      <c r="A1005" s="359"/>
      <c r="B1005" s="357"/>
      <c r="C1005" s="358"/>
      <c r="D1005" s="386"/>
      <c r="E1005" s="274"/>
      <c r="F1005" s="274"/>
      <c r="G1005" s="274"/>
      <c r="H1005" s="274"/>
    </row>
    <row r="1006" spans="1:4" ht="15.75" thickBot="1">
      <c r="A1006" s="213" t="s">
        <v>653</v>
      </c>
      <c r="B1006" s="376"/>
      <c r="C1006" s="376"/>
      <c r="D1006" s="412"/>
    </row>
    <row r="1007" spans="1:4" s="448" customFormat="1" ht="15">
      <c r="A1007" s="442" t="s">
        <v>620</v>
      </c>
      <c r="B1007" s="567"/>
      <c r="C1007" s="443">
        <v>2002</v>
      </c>
      <c r="D1007" s="444">
        <v>2001</v>
      </c>
    </row>
    <row r="1008" spans="1:4" ht="14.25">
      <c r="A1008" s="96" t="s">
        <v>644</v>
      </c>
      <c r="B1008" s="588"/>
      <c r="C1008" s="393">
        <v>0</v>
      </c>
      <c r="D1008" s="364">
        <v>0</v>
      </c>
    </row>
    <row r="1009" spans="1:4" ht="14.25">
      <c r="A1009" s="96" t="s">
        <v>645</v>
      </c>
      <c r="B1009" s="568"/>
      <c r="C1009" s="363"/>
      <c r="D1009" s="364"/>
    </row>
    <row r="1010" spans="1:4" ht="14.25">
      <c r="A1010" s="96" t="s">
        <v>652</v>
      </c>
      <c r="B1010" s="568"/>
      <c r="C1010" s="363"/>
      <c r="D1010" s="364"/>
    </row>
    <row r="1011" spans="1:8" s="274" customFormat="1" ht="14.25">
      <c r="A1011" s="96" t="s">
        <v>646</v>
      </c>
      <c r="B1011" s="568"/>
      <c r="C1011" s="363"/>
      <c r="D1011" s="364"/>
      <c r="E1011"/>
      <c r="F1011"/>
      <c r="G1011"/>
      <c r="H1011"/>
    </row>
    <row r="1012" spans="1:4" ht="14.25">
      <c r="A1012" s="96" t="s">
        <v>647</v>
      </c>
      <c r="B1012" s="568"/>
      <c r="C1012" s="363"/>
      <c r="D1012" s="364"/>
    </row>
    <row r="1013" spans="1:4" ht="14.25">
      <c r="A1013" s="96" t="s">
        <v>617</v>
      </c>
      <c r="B1013" s="568"/>
      <c r="C1013" s="363"/>
      <c r="D1013" s="364"/>
    </row>
    <row r="1014" spans="1:4" ht="14.25">
      <c r="A1014" s="96" t="s">
        <v>954</v>
      </c>
      <c r="B1014" s="568"/>
      <c r="C1014" s="363"/>
      <c r="D1014" s="364"/>
    </row>
    <row r="1015" spans="1:8" ht="15.75" thickBot="1">
      <c r="A1015" s="255" t="s">
        <v>648</v>
      </c>
      <c r="B1015" s="569"/>
      <c r="C1015" s="425">
        <f>SUM(C1008:C1014)</f>
        <v>0</v>
      </c>
      <c r="D1015" s="465">
        <f>SUM(D1008:D1014)</f>
        <v>0</v>
      </c>
      <c r="E1015" s="274"/>
      <c r="F1015" s="274"/>
      <c r="G1015" s="274"/>
      <c r="H1015" s="274"/>
    </row>
    <row r="1016" spans="1:4" ht="14.25">
      <c r="A1016" s="359"/>
      <c r="B1016" s="357"/>
      <c r="C1016" s="358"/>
      <c r="D1016" s="411"/>
    </row>
    <row r="1017" spans="1:4" ht="14.25">
      <c r="A1017" s="359"/>
      <c r="B1017" s="357"/>
      <c r="C1017" s="358"/>
      <c r="D1017" s="386"/>
    </row>
    <row r="1018" spans="1:4" ht="15.75" thickBot="1">
      <c r="A1018" s="213" t="s">
        <v>655</v>
      </c>
      <c r="B1018" s="376"/>
      <c r="C1018" s="376"/>
      <c r="D1018" s="412"/>
    </row>
    <row r="1019" spans="1:4" s="448" customFormat="1" ht="15">
      <c r="A1019" s="442" t="s">
        <v>219</v>
      </c>
      <c r="B1019" s="567"/>
      <c r="C1019" s="443">
        <v>2002</v>
      </c>
      <c r="D1019" s="444">
        <v>2001</v>
      </c>
    </row>
    <row r="1020" spans="1:4" ht="14.25">
      <c r="A1020" s="96" t="s">
        <v>667</v>
      </c>
      <c r="B1020" s="588"/>
      <c r="C1020" s="393">
        <v>0</v>
      </c>
      <c r="D1020" s="364">
        <v>0</v>
      </c>
    </row>
    <row r="1021" spans="1:8" s="274" customFormat="1" ht="14.25">
      <c r="A1021" s="96" t="s">
        <v>668</v>
      </c>
      <c r="B1021" s="568"/>
      <c r="C1021" s="363"/>
      <c r="D1021" s="364"/>
      <c r="E1021"/>
      <c r="F1021"/>
      <c r="G1021"/>
      <c r="H1021"/>
    </row>
    <row r="1022" spans="1:4" ht="14.25">
      <c r="A1022" s="96"/>
      <c r="B1022" s="568"/>
      <c r="C1022" s="363"/>
      <c r="D1022" s="364"/>
    </row>
    <row r="1023" spans="1:4" ht="14.25">
      <c r="A1023" s="96"/>
      <c r="B1023" s="568"/>
      <c r="C1023" s="363"/>
      <c r="D1023" s="364"/>
    </row>
    <row r="1024" spans="1:4" ht="14.25">
      <c r="A1024" s="96"/>
      <c r="B1024" s="568"/>
      <c r="C1024" s="363"/>
      <c r="D1024" s="364"/>
    </row>
    <row r="1025" spans="1:4" ht="15.75" thickBot="1">
      <c r="A1025" s="255" t="s">
        <v>654</v>
      </c>
      <c r="B1025" s="569"/>
      <c r="C1025" s="425">
        <f>C1020</f>
        <v>0</v>
      </c>
      <c r="D1025" s="465">
        <f>D1020</f>
        <v>0</v>
      </c>
    </row>
    <row r="1026" spans="1:4" ht="14.25">
      <c r="A1026" s="359"/>
      <c r="B1026" s="357"/>
      <c r="C1026" s="358"/>
      <c r="D1026" s="411"/>
    </row>
    <row r="1027" spans="1:8" ht="14.25">
      <c r="A1027" s="359"/>
      <c r="B1027" s="357"/>
      <c r="C1027" s="358"/>
      <c r="D1027" s="386"/>
      <c r="E1027" s="274"/>
      <c r="F1027" s="274"/>
      <c r="G1027" s="274"/>
      <c r="H1027" s="274"/>
    </row>
    <row r="1028" spans="1:4" ht="15.75" thickBot="1">
      <c r="A1028" s="213" t="s">
        <v>67</v>
      </c>
      <c r="B1028" s="376"/>
      <c r="C1028" s="376"/>
      <c r="D1028" s="412"/>
    </row>
    <row r="1029" spans="1:4" s="448" customFormat="1" ht="30">
      <c r="A1029" s="442" t="s">
        <v>656</v>
      </c>
      <c r="B1029" s="567"/>
      <c r="C1029" s="443">
        <v>2002</v>
      </c>
      <c r="D1029" s="444">
        <v>2001</v>
      </c>
    </row>
    <row r="1030" spans="1:4" ht="14.25">
      <c r="A1030" s="96"/>
      <c r="B1030" s="568"/>
      <c r="C1030" s="363"/>
      <c r="D1030" s="364"/>
    </row>
    <row r="1031" spans="1:4" ht="14.25">
      <c r="A1031" s="96"/>
      <c r="B1031" s="568"/>
      <c r="C1031" s="363"/>
      <c r="D1031" s="364"/>
    </row>
    <row r="1032" spans="1:4" ht="14.25">
      <c r="A1032" s="96"/>
      <c r="B1032" s="568"/>
      <c r="C1032" s="363"/>
      <c r="D1032" s="364"/>
    </row>
    <row r="1033" spans="1:8" s="274" customFormat="1" ht="14.25">
      <c r="A1033" s="96"/>
      <c r="B1033" s="568"/>
      <c r="C1033" s="363"/>
      <c r="D1033" s="364"/>
      <c r="E1033"/>
      <c r="F1033"/>
      <c r="G1033"/>
      <c r="H1033"/>
    </row>
    <row r="1034" spans="1:4" ht="14.25">
      <c r="A1034" s="96"/>
      <c r="B1034" s="568"/>
      <c r="C1034" s="363"/>
      <c r="D1034" s="364"/>
    </row>
    <row r="1035" spans="1:4" ht="15.75" thickBot="1">
      <c r="A1035" s="255" t="s">
        <v>657</v>
      </c>
      <c r="B1035" s="575"/>
      <c r="C1035" s="395"/>
      <c r="D1035" s="396"/>
    </row>
    <row r="1036" spans="1:4" ht="14.25">
      <c r="A1036" s="359"/>
      <c r="B1036" s="357"/>
      <c r="C1036" s="358"/>
      <c r="D1036" s="411"/>
    </row>
    <row r="1037" spans="1:4" ht="14.25">
      <c r="A1037" s="359"/>
      <c r="B1037" s="357"/>
      <c r="C1037" s="358"/>
      <c r="D1037" s="386"/>
    </row>
    <row r="1038" spans="1:4" ht="15.75" thickBot="1">
      <c r="A1038" s="213" t="s">
        <v>68</v>
      </c>
      <c r="B1038" s="407"/>
      <c r="C1038" s="376"/>
      <c r="D1038" s="412"/>
    </row>
    <row r="1039" spans="1:4" ht="15">
      <c r="A1039" s="442" t="s">
        <v>69</v>
      </c>
      <c r="B1039" s="567"/>
      <c r="C1039" s="443">
        <v>2002</v>
      </c>
      <c r="D1039" s="444">
        <v>2001</v>
      </c>
    </row>
    <row r="1040" spans="1:4" ht="14.25">
      <c r="A1040" s="96" t="s">
        <v>227</v>
      </c>
      <c r="B1040" s="588"/>
      <c r="C1040" s="393">
        <v>-1917</v>
      </c>
      <c r="D1040" s="419">
        <v>1992</v>
      </c>
    </row>
    <row r="1041" spans="1:4" ht="14.25">
      <c r="A1041" s="96" t="s">
        <v>949</v>
      </c>
      <c r="B1041" s="588"/>
      <c r="C1041" s="419">
        <v>2831</v>
      </c>
      <c r="D1041" s="419">
        <v>9</v>
      </c>
    </row>
    <row r="1042" spans="1:4" ht="14.25">
      <c r="A1042" s="96" t="s">
        <v>874</v>
      </c>
      <c r="B1042" s="588"/>
      <c r="C1042" s="393"/>
      <c r="D1042" s="419"/>
    </row>
    <row r="1043" spans="1:4" ht="14.25">
      <c r="A1043" s="96" t="s">
        <v>950</v>
      </c>
      <c r="B1043" s="588"/>
      <c r="C1043" s="393">
        <v>1612</v>
      </c>
      <c r="D1043" s="419">
        <v>3918</v>
      </c>
    </row>
    <row r="1044" spans="1:4" ht="14.25">
      <c r="A1044" s="253" t="s">
        <v>70</v>
      </c>
      <c r="B1044" s="588"/>
      <c r="C1044" s="393"/>
      <c r="D1044" s="419"/>
    </row>
    <row r="1045" spans="1:4" ht="15.75" thickBot="1">
      <c r="A1045" s="255" t="s">
        <v>71</v>
      </c>
      <c r="B1045" s="604"/>
      <c r="C1045" s="641">
        <f>C1040+C1041-C1043</f>
        <v>-698</v>
      </c>
      <c r="D1045" s="469">
        <f>D1040+D1041-D1043</f>
        <v>-1917</v>
      </c>
    </row>
    <row r="1046" spans="1:4" ht="14.25">
      <c r="A1046" s="359"/>
      <c r="B1046" s="357"/>
      <c r="C1046" s="358"/>
      <c r="D1046" s="386"/>
    </row>
    <row r="1047" spans="1:4" ht="14.25">
      <c r="A1047" s="359"/>
      <c r="B1047" s="357"/>
      <c r="C1047" s="358"/>
      <c r="D1047" s="386"/>
    </row>
    <row r="1048" spans="1:4" ht="15.75" thickBot="1">
      <c r="A1048" s="213" t="s">
        <v>554</v>
      </c>
      <c r="B1048" s="376"/>
      <c r="C1048" s="376"/>
      <c r="D1048" s="412"/>
    </row>
    <row r="1049" spans="1:4" s="448" customFormat="1" ht="30.75" thickBot="1">
      <c r="A1049" s="579" t="s">
        <v>658</v>
      </c>
      <c r="B1049" s="581"/>
      <c r="C1049" s="449">
        <v>2002</v>
      </c>
      <c r="D1049" s="450">
        <v>2001</v>
      </c>
    </row>
    <row r="1050" spans="1:4" ht="28.5">
      <c r="A1050" s="580" t="s">
        <v>659</v>
      </c>
      <c r="B1050" s="582"/>
      <c r="C1050" s="517">
        <f>C1051+C1054+C1056</f>
        <v>256</v>
      </c>
      <c r="D1050" s="413">
        <f>D1051+D1054+D1056</f>
        <v>32</v>
      </c>
    </row>
    <row r="1051" spans="1:4" ht="14.25">
      <c r="A1051" s="96" t="s">
        <v>660</v>
      </c>
      <c r="B1051" s="568"/>
      <c r="C1051" s="393">
        <f>SUM(C1052:C1053)</f>
        <v>256</v>
      </c>
      <c r="D1051" s="364">
        <v>32</v>
      </c>
    </row>
    <row r="1052" spans="1:4" ht="14.25">
      <c r="A1052" s="615" t="s">
        <v>623</v>
      </c>
      <c r="B1052" s="568"/>
      <c r="C1052" s="393">
        <f>160+63</f>
        <v>223</v>
      </c>
      <c r="D1052" s="364"/>
    </row>
    <row r="1053" spans="1:4" ht="14.25">
      <c r="A1053" s="615" t="s">
        <v>1110</v>
      </c>
      <c r="B1053" s="568"/>
      <c r="C1053" s="393">
        <v>33</v>
      </c>
      <c r="D1053" s="364"/>
    </row>
    <row r="1054" spans="1:8" s="274" customFormat="1" ht="14.25">
      <c r="A1054" s="96" t="s">
        <v>661</v>
      </c>
      <c r="B1054" s="568"/>
      <c r="C1054" s="393"/>
      <c r="D1054" s="364"/>
      <c r="E1054"/>
      <c r="F1054"/>
      <c r="G1054"/>
      <c r="H1054"/>
    </row>
    <row r="1055" spans="1:4" ht="14.25">
      <c r="A1055" s="96" t="s">
        <v>348</v>
      </c>
      <c r="B1055" s="568"/>
      <c r="C1055" s="393"/>
      <c r="D1055" s="364"/>
    </row>
    <row r="1056" spans="1:4" ht="14.25">
      <c r="A1056" s="96" t="s">
        <v>662</v>
      </c>
      <c r="B1056" s="568"/>
      <c r="C1056" s="393"/>
      <c r="D1056" s="364"/>
    </row>
    <row r="1057" spans="1:4" ht="14.25">
      <c r="A1057" s="96" t="s">
        <v>348</v>
      </c>
      <c r="B1057" s="568"/>
      <c r="C1057" s="393"/>
      <c r="D1057" s="364"/>
    </row>
    <row r="1058" spans="1:8" ht="14.25">
      <c r="A1058" s="96" t="s">
        <v>1250</v>
      </c>
      <c r="B1058" s="568"/>
      <c r="C1058" s="393">
        <f>C1059+C1062+C1064</f>
        <v>163</v>
      </c>
      <c r="D1058" s="364">
        <f>D1059+D1062+D1064</f>
        <v>230</v>
      </c>
      <c r="E1058" s="274"/>
      <c r="F1058" s="274"/>
      <c r="G1058" s="274"/>
      <c r="H1058" s="274"/>
    </row>
    <row r="1059" spans="1:4" ht="28.5">
      <c r="A1059" s="96" t="s">
        <v>663</v>
      </c>
      <c r="B1059" s="568"/>
      <c r="C1059" s="393">
        <f>SUM(C1060:C1061)</f>
        <v>163</v>
      </c>
      <c r="D1059" s="364">
        <v>230</v>
      </c>
    </row>
    <row r="1060" spans="1:4" ht="14.25">
      <c r="A1060" s="96" t="s">
        <v>1109</v>
      </c>
      <c r="B1060" s="568"/>
      <c r="C1060" s="393">
        <v>160</v>
      </c>
      <c r="D1060" s="364"/>
    </row>
    <row r="1061" spans="1:4" ht="14.25">
      <c r="A1061" s="96" t="s">
        <v>751</v>
      </c>
      <c r="B1061" s="568"/>
      <c r="C1061" s="393">
        <f>1+2</f>
        <v>3</v>
      </c>
      <c r="D1061" s="364"/>
    </row>
    <row r="1062" spans="1:4" ht="28.5">
      <c r="A1062" s="96" t="s">
        <v>746</v>
      </c>
      <c r="B1062" s="568"/>
      <c r="C1062" s="393"/>
      <c r="D1062" s="364"/>
    </row>
    <row r="1063" spans="1:4" ht="14.25">
      <c r="A1063" s="96" t="s">
        <v>348</v>
      </c>
      <c r="B1063" s="568"/>
      <c r="C1063" s="393"/>
      <c r="D1063" s="364"/>
    </row>
    <row r="1064" spans="1:4" ht="28.5">
      <c r="A1064" s="96" t="s">
        <v>747</v>
      </c>
      <c r="B1064" s="573"/>
      <c r="C1064" s="514"/>
      <c r="D1064" s="367"/>
    </row>
    <row r="1065" spans="1:8" s="274" customFormat="1" ht="14.25">
      <c r="A1065" s="96" t="s">
        <v>348</v>
      </c>
      <c r="B1065" s="568"/>
      <c r="C1065" s="393"/>
      <c r="D1065" s="364"/>
      <c r="E1065"/>
      <c r="F1065"/>
      <c r="G1065"/>
      <c r="H1065"/>
    </row>
    <row r="1066" spans="1:4" ht="14.25">
      <c r="A1066" s="96" t="s">
        <v>1256</v>
      </c>
      <c r="B1066" s="568"/>
      <c r="C1066" s="363">
        <f>C1067+C1070+C1072</f>
        <v>256</v>
      </c>
      <c r="D1066" s="364">
        <f>D1067+D1070+D1072</f>
        <v>0</v>
      </c>
    </row>
    <row r="1067" spans="1:4" ht="28.5">
      <c r="A1067" s="96" t="s">
        <v>136</v>
      </c>
      <c r="B1067" s="568"/>
      <c r="C1067" s="363">
        <f>C1068+C1069</f>
        <v>256</v>
      </c>
      <c r="D1067" s="364"/>
    </row>
    <row r="1068" spans="1:4" ht="14.25">
      <c r="A1068" s="96" t="s">
        <v>624</v>
      </c>
      <c r="B1068" s="568"/>
      <c r="C1068" s="363">
        <f>160+63</f>
        <v>223</v>
      </c>
      <c r="D1068" s="364"/>
    </row>
    <row r="1069" spans="1:4" ht="14.25">
      <c r="A1069" s="96" t="s">
        <v>625</v>
      </c>
      <c r="B1069" s="568"/>
      <c r="C1069" s="363">
        <v>33</v>
      </c>
      <c r="D1069" s="364"/>
    </row>
    <row r="1070" spans="1:4" ht="28.5">
      <c r="A1070" s="96" t="s">
        <v>746</v>
      </c>
      <c r="B1070" s="568"/>
      <c r="C1070" s="363"/>
      <c r="D1070" s="364"/>
    </row>
    <row r="1071" spans="1:4" ht="14.25">
      <c r="A1071" s="96" t="s">
        <v>348</v>
      </c>
      <c r="B1071" s="568"/>
      <c r="C1071" s="363"/>
      <c r="D1071" s="364"/>
    </row>
    <row r="1072" spans="1:4" ht="28.5">
      <c r="A1072" s="96" t="s">
        <v>747</v>
      </c>
      <c r="B1072" s="573"/>
      <c r="C1072" s="366"/>
      <c r="D1072" s="367"/>
    </row>
    <row r="1073" spans="1:4" ht="14.25">
      <c r="A1073" s="96" t="s">
        <v>348</v>
      </c>
      <c r="B1073" s="568"/>
      <c r="C1073" s="363"/>
      <c r="D1073" s="364"/>
    </row>
    <row r="1074" spans="1:4" ht="29.25">
      <c r="A1074" s="96" t="s">
        <v>332</v>
      </c>
      <c r="B1074" s="589"/>
      <c r="C1074" s="474">
        <f>C1075+C1077+C1079</f>
        <v>163</v>
      </c>
      <c r="D1074" s="636">
        <f>D1075+D1077+D1079</f>
        <v>262</v>
      </c>
    </row>
    <row r="1075" spans="1:4" ht="14.25">
      <c r="A1075" s="96" t="s">
        <v>660</v>
      </c>
      <c r="B1075" s="588"/>
      <c r="C1075" s="393">
        <f>C1051+C1059-C1067</f>
        <v>163</v>
      </c>
      <c r="D1075" s="519">
        <f>D1051+D1059-D1067</f>
        <v>262</v>
      </c>
    </row>
    <row r="1076" spans="1:4" ht="14.25">
      <c r="A1076" s="96" t="s">
        <v>348</v>
      </c>
      <c r="B1076" s="568"/>
      <c r="C1076" s="363"/>
      <c r="D1076" s="364"/>
    </row>
    <row r="1077" spans="1:4" ht="14.25">
      <c r="A1077" s="96" t="s">
        <v>661</v>
      </c>
      <c r="B1077" s="568"/>
      <c r="C1077" s="363">
        <f>C1054+C1062-C1070</f>
        <v>0</v>
      </c>
      <c r="D1077" s="364">
        <f>D1054+D1062-D1070</f>
        <v>0</v>
      </c>
    </row>
    <row r="1078" spans="1:4" ht="14.25">
      <c r="A1078" s="96" t="s">
        <v>348</v>
      </c>
      <c r="B1078" s="568"/>
      <c r="C1078" s="393"/>
      <c r="D1078" s="419"/>
    </row>
    <row r="1079" spans="1:4" ht="14.25">
      <c r="A1079" s="96" t="s">
        <v>662</v>
      </c>
      <c r="B1079" s="568"/>
      <c r="C1079" s="393">
        <f>C1056+C1064-C1072</f>
        <v>0</v>
      </c>
      <c r="D1079" s="419">
        <f>D1056+D1064-D1072</f>
        <v>0</v>
      </c>
    </row>
    <row r="1080" spans="1:4" ht="15" thickBot="1">
      <c r="A1080" s="257" t="s">
        <v>348</v>
      </c>
      <c r="B1080" s="575"/>
      <c r="C1080" s="515"/>
      <c r="D1080" s="518"/>
    </row>
    <row r="1081" spans="1:4" ht="14.25">
      <c r="A1081" s="359"/>
      <c r="B1081" s="482"/>
      <c r="C1081" s="509"/>
      <c r="D1081" s="509"/>
    </row>
    <row r="1082" spans="1:4" ht="14.25">
      <c r="A1082" s="359"/>
      <c r="C1082" s="358"/>
      <c r="D1082" s="386"/>
    </row>
    <row r="1083" spans="1:4" ht="15.75" thickBot="1">
      <c r="A1083" s="213" t="s">
        <v>561</v>
      </c>
      <c r="B1083" s="376"/>
      <c r="C1083" s="376"/>
      <c r="D1083" s="412"/>
    </row>
    <row r="1084" spans="1:4" s="448" customFormat="1" ht="30">
      <c r="A1084" s="579" t="s">
        <v>137</v>
      </c>
      <c r="B1084" s="581"/>
      <c r="C1084" s="449">
        <v>2002</v>
      </c>
      <c r="D1084" s="450">
        <v>2001</v>
      </c>
    </row>
    <row r="1085" spans="1:4" ht="14.25">
      <c r="A1085" s="96" t="s">
        <v>402</v>
      </c>
      <c r="B1085" s="568"/>
      <c r="C1085" s="363"/>
      <c r="D1085" s="364"/>
    </row>
    <row r="1086" spans="1:4" ht="14.25">
      <c r="A1086" s="96" t="s">
        <v>348</v>
      </c>
      <c r="B1086" s="568"/>
      <c r="C1086" s="363"/>
      <c r="D1086" s="364"/>
    </row>
    <row r="1087" spans="1:4" ht="14.25">
      <c r="A1087" s="96" t="s">
        <v>964</v>
      </c>
      <c r="B1087" s="568"/>
      <c r="C1087" s="363"/>
      <c r="D1087" s="364"/>
    </row>
    <row r="1088" spans="1:4" ht="14.25">
      <c r="A1088" s="96" t="s">
        <v>348</v>
      </c>
      <c r="B1088" s="568"/>
      <c r="C1088" s="363"/>
      <c r="D1088" s="364"/>
    </row>
    <row r="1089" spans="1:4" ht="14.25">
      <c r="A1089" s="96" t="s">
        <v>138</v>
      </c>
      <c r="B1089" s="568"/>
      <c r="C1089" s="363"/>
      <c r="D1089" s="364"/>
    </row>
    <row r="1090" spans="1:4" ht="14.25">
      <c r="A1090" s="96" t="s">
        <v>348</v>
      </c>
      <c r="B1090" s="568"/>
      <c r="C1090" s="363"/>
      <c r="D1090" s="364"/>
    </row>
    <row r="1091" spans="1:4" ht="14.25">
      <c r="A1091" s="96" t="s">
        <v>139</v>
      </c>
      <c r="B1091" s="568"/>
      <c r="C1091" s="363"/>
      <c r="D1091" s="364"/>
    </row>
    <row r="1092" spans="1:8" ht="14.25">
      <c r="A1092" s="96" t="s">
        <v>348</v>
      </c>
      <c r="B1092" s="568"/>
      <c r="C1092" s="363"/>
      <c r="D1092" s="364"/>
      <c r="E1092" s="274"/>
      <c r="F1092" s="274"/>
      <c r="G1092" s="274"/>
      <c r="H1092" s="274"/>
    </row>
    <row r="1093" spans="1:4" ht="15">
      <c r="A1093" s="96" t="s">
        <v>140</v>
      </c>
      <c r="B1093" s="576"/>
      <c r="C1093" s="361">
        <f>C1085+C1087-C1089-C1091</f>
        <v>0</v>
      </c>
      <c r="D1093" s="362">
        <f>D1085+D1087-D1089-D1091</f>
        <v>0</v>
      </c>
    </row>
    <row r="1094" spans="1:4" ht="15" thickBot="1">
      <c r="A1094" s="257" t="s">
        <v>348</v>
      </c>
      <c r="B1094" s="575"/>
      <c r="C1094" s="395"/>
      <c r="D1094" s="396"/>
    </row>
    <row r="1095" spans="1:4" ht="14.25">
      <c r="A1095" s="359"/>
      <c r="B1095" s="357"/>
      <c r="C1095" s="358"/>
      <c r="D1095" s="411"/>
    </row>
    <row r="1096" spans="1:4" ht="14.25">
      <c r="A1096" s="359"/>
      <c r="B1096" s="357"/>
      <c r="C1096" s="358"/>
      <c r="D1096" s="386"/>
    </row>
    <row r="1097" spans="1:4" ht="15.75" thickBot="1">
      <c r="A1097" s="213" t="s">
        <v>682</v>
      </c>
      <c r="B1097" s="376"/>
      <c r="C1097" s="376"/>
      <c r="D1097" s="412"/>
    </row>
    <row r="1098" spans="1:8" s="445" customFormat="1" ht="30">
      <c r="A1098" s="442" t="s">
        <v>159</v>
      </c>
      <c r="B1098" s="567"/>
      <c r="C1098" s="443">
        <v>2002</v>
      </c>
      <c r="D1098" s="444">
        <v>2001</v>
      </c>
      <c r="E1098" s="448"/>
      <c r="F1098" s="448"/>
      <c r="G1098" s="448"/>
      <c r="H1098" s="448"/>
    </row>
    <row r="1099" spans="1:4" ht="14.25">
      <c r="A1099" s="96" t="s">
        <v>402</v>
      </c>
      <c r="B1099" s="568"/>
      <c r="C1099" s="363"/>
      <c r="D1099" s="364"/>
    </row>
    <row r="1100" spans="1:4" ht="14.25">
      <c r="A1100" s="96" t="s">
        <v>348</v>
      </c>
      <c r="B1100" s="568"/>
      <c r="C1100" s="363"/>
      <c r="D1100" s="364"/>
    </row>
    <row r="1101" spans="1:4" ht="14.25">
      <c r="A1101" s="96" t="s">
        <v>964</v>
      </c>
      <c r="B1101" s="568"/>
      <c r="C1101" s="363"/>
      <c r="D1101" s="364"/>
    </row>
    <row r="1102" spans="1:4" ht="14.25">
      <c r="A1102" s="96" t="s">
        <v>348</v>
      </c>
      <c r="B1102" s="568"/>
      <c r="C1102" s="363"/>
      <c r="D1102" s="364"/>
    </row>
    <row r="1103" spans="1:4" ht="14.25">
      <c r="A1103" s="96" t="s">
        <v>138</v>
      </c>
      <c r="B1103" s="568"/>
      <c r="C1103" s="363"/>
      <c r="D1103" s="364"/>
    </row>
    <row r="1104" spans="1:4" ht="14.25">
      <c r="A1104" s="96" t="s">
        <v>348</v>
      </c>
      <c r="B1104" s="568"/>
      <c r="C1104" s="363"/>
      <c r="D1104" s="364"/>
    </row>
    <row r="1105" spans="1:4" ht="14.25">
      <c r="A1105" s="96" t="s">
        <v>139</v>
      </c>
      <c r="B1105" s="568"/>
      <c r="C1105" s="363"/>
      <c r="D1105" s="364"/>
    </row>
    <row r="1106" spans="1:8" ht="14.25">
      <c r="A1106" s="96" t="s">
        <v>348</v>
      </c>
      <c r="B1106" s="568"/>
      <c r="C1106" s="363"/>
      <c r="D1106" s="364"/>
      <c r="E1106" s="274"/>
      <c r="F1106" s="274"/>
      <c r="G1106" s="274"/>
      <c r="H1106" s="274"/>
    </row>
    <row r="1107" spans="1:4" ht="14.25">
      <c r="A1107" s="96" t="s">
        <v>140</v>
      </c>
      <c r="B1107" s="568"/>
      <c r="C1107" s="363">
        <f>C1099+C1101-C1103-C1105</f>
        <v>0</v>
      </c>
      <c r="D1107" s="364">
        <f>D1099+D1101-D1103-D1105</f>
        <v>0</v>
      </c>
    </row>
    <row r="1108" spans="1:4" ht="15" thickBot="1">
      <c r="A1108" s="257" t="s">
        <v>348</v>
      </c>
      <c r="B1108" s="575"/>
      <c r="C1108" s="395"/>
      <c r="D1108" s="396"/>
    </row>
    <row r="1109" spans="1:4" ht="14.25">
      <c r="A1109" s="359"/>
      <c r="B1109" s="357"/>
      <c r="C1109" s="358"/>
      <c r="D1109" s="411"/>
    </row>
    <row r="1110" spans="1:4" ht="14.25">
      <c r="A1110" s="359"/>
      <c r="B1110" s="357"/>
      <c r="C1110" s="358"/>
      <c r="D1110" s="386"/>
    </row>
    <row r="1111" spans="1:4" ht="15.75" thickBot="1">
      <c r="A1111" s="213" t="s">
        <v>683</v>
      </c>
      <c r="B1111" s="376"/>
      <c r="C1111" s="376"/>
      <c r="D1111" s="412"/>
    </row>
    <row r="1112" spans="1:8" s="445" customFormat="1" ht="30">
      <c r="A1112" s="442" t="s">
        <v>160</v>
      </c>
      <c r="B1112" s="567"/>
      <c r="C1112" s="443">
        <v>2002</v>
      </c>
      <c r="D1112" s="444">
        <v>2001</v>
      </c>
      <c r="E1112" s="448"/>
      <c r="F1112" s="448"/>
      <c r="G1112" s="448"/>
      <c r="H1112" s="448"/>
    </row>
    <row r="1113" spans="1:4" ht="14.25">
      <c r="A1113" s="96" t="s">
        <v>402</v>
      </c>
      <c r="B1113" s="568"/>
      <c r="C1113" s="363"/>
      <c r="D1113" s="364"/>
    </row>
    <row r="1114" spans="1:4" ht="14.25">
      <c r="A1114" s="96" t="s">
        <v>348</v>
      </c>
      <c r="B1114" s="568"/>
      <c r="C1114" s="363"/>
      <c r="D1114" s="364"/>
    </row>
    <row r="1115" spans="1:4" ht="14.25">
      <c r="A1115" s="96" t="s">
        <v>964</v>
      </c>
      <c r="B1115" s="568"/>
      <c r="C1115" s="363"/>
      <c r="D1115" s="364"/>
    </row>
    <row r="1116" spans="1:4" ht="14.25">
      <c r="A1116" s="96" t="s">
        <v>739</v>
      </c>
      <c r="B1116" s="568"/>
      <c r="C1116" s="363"/>
      <c r="D1116" s="364"/>
    </row>
    <row r="1117" spans="1:4" ht="14.25">
      <c r="A1117" s="96" t="s">
        <v>138</v>
      </c>
      <c r="B1117" s="568"/>
      <c r="C1117" s="363"/>
      <c r="D1117" s="364"/>
    </row>
    <row r="1118" spans="1:4" ht="14.25">
      <c r="A1118" s="96" t="s">
        <v>348</v>
      </c>
      <c r="B1118" s="568"/>
      <c r="C1118" s="363"/>
      <c r="D1118" s="364"/>
    </row>
    <row r="1119" spans="1:4" ht="14.25">
      <c r="A1119" s="96" t="s">
        <v>139</v>
      </c>
      <c r="B1119" s="568"/>
      <c r="C1119" s="363"/>
      <c r="D1119" s="364"/>
    </row>
    <row r="1120" spans="1:8" ht="14.25">
      <c r="A1120" s="96" t="s">
        <v>348</v>
      </c>
      <c r="B1120" s="568"/>
      <c r="C1120" s="363"/>
      <c r="D1120" s="364"/>
      <c r="E1120" s="274"/>
      <c r="F1120" s="274"/>
      <c r="G1120" s="274"/>
      <c r="H1120" s="274"/>
    </row>
    <row r="1121" spans="1:5" ht="14.25">
      <c r="A1121" s="96" t="s">
        <v>140</v>
      </c>
      <c r="B1121" s="568"/>
      <c r="C1121" s="393">
        <f>C1113+C1115-C1117-C1119</f>
        <v>0</v>
      </c>
      <c r="D1121" s="419">
        <f>D1113+D1115-D1117-D1119</f>
        <v>0</v>
      </c>
      <c r="E1121" s="476"/>
    </row>
    <row r="1122" spans="1:4" ht="15" thickBot="1">
      <c r="A1122" s="257" t="s">
        <v>348</v>
      </c>
      <c r="B1122" s="575"/>
      <c r="C1122" s="395"/>
      <c r="D1122" s="396"/>
    </row>
    <row r="1123" spans="1:4" ht="14.25">
      <c r="A1123" s="359"/>
      <c r="B1123" s="482"/>
      <c r="C1123" s="482"/>
      <c r="D1123" s="482"/>
    </row>
    <row r="1124" spans="1:4" ht="14.25">
      <c r="A1124" s="359"/>
      <c r="B1124" s="357"/>
      <c r="C1124" s="358"/>
      <c r="D1124" s="386"/>
    </row>
    <row r="1125" spans="1:4" ht="15.75" thickBot="1">
      <c r="A1125" s="213" t="s">
        <v>684</v>
      </c>
      <c r="B1125" s="376"/>
      <c r="C1125" s="376"/>
      <c r="D1125" s="412"/>
    </row>
    <row r="1126" spans="1:8" s="445" customFormat="1" ht="30">
      <c r="A1126" s="579" t="s">
        <v>161</v>
      </c>
      <c r="B1126" s="581"/>
      <c r="C1126" s="449">
        <v>2002</v>
      </c>
      <c r="D1126" s="450">
        <v>2001</v>
      </c>
      <c r="E1126" s="448"/>
      <c r="F1126" s="448"/>
      <c r="G1126" s="448"/>
      <c r="H1126" s="448"/>
    </row>
    <row r="1127" spans="1:4" ht="14.25">
      <c r="A1127" s="96" t="s">
        <v>402</v>
      </c>
      <c r="B1127" s="568"/>
      <c r="C1127" s="363">
        <f>SUM(C1128:C1131)</f>
        <v>2766</v>
      </c>
      <c r="D1127" s="364">
        <f>281</f>
        <v>281</v>
      </c>
    </row>
    <row r="1128" spans="1:4" ht="14.25">
      <c r="A1128" s="96" t="s">
        <v>740</v>
      </c>
      <c r="B1128" s="568"/>
      <c r="C1128" s="363">
        <v>469</v>
      </c>
      <c r="D1128" s="364"/>
    </row>
    <row r="1129" spans="1:4" ht="14.25">
      <c r="A1129" s="96" t="s">
        <v>475</v>
      </c>
      <c r="B1129" s="568"/>
      <c r="C1129" s="363">
        <v>1000</v>
      </c>
      <c r="D1129" s="364"/>
    </row>
    <row r="1130" spans="1:4" ht="14.25">
      <c r="A1130" s="96" t="s">
        <v>476</v>
      </c>
      <c r="B1130" s="568"/>
      <c r="C1130" s="363">
        <v>450</v>
      </c>
      <c r="D1130" s="364"/>
    </row>
    <row r="1131" spans="1:4" ht="14.25">
      <c r="A1131" s="96" t="s">
        <v>477</v>
      </c>
      <c r="B1131" s="568"/>
      <c r="C1131" s="363">
        <v>847</v>
      </c>
      <c r="D1131" s="364"/>
    </row>
    <row r="1132" spans="1:4" ht="14.25">
      <c r="A1132" s="96" t="s">
        <v>964</v>
      </c>
      <c r="B1132" s="568"/>
      <c r="C1132" s="363">
        <f>SUM(C1133:C1137)</f>
        <v>1297</v>
      </c>
      <c r="D1132" s="364">
        <f>SUM(D1133:D1137)</f>
        <v>2766</v>
      </c>
    </row>
    <row r="1133" spans="1:4" ht="14.25">
      <c r="A1133" s="96" t="s">
        <v>740</v>
      </c>
      <c r="B1133" s="568"/>
      <c r="C1133" s="393">
        <v>77</v>
      </c>
      <c r="D1133" s="364">
        <v>469</v>
      </c>
    </row>
    <row r="1134" spans="1:4" ht="14.25">
      <c r="A1134" s="96" t="s">
        <v>1193</v>
      </c>
      <c r="B1134" s="568"/>
      <c r="C1134" s="393">
        <f>194+12</f>
        <v>206</v>
      </c>
      <c r="D1134" s="364"/>
    </row>
    <row r="1135" spans="1:5" ht="14.25">
      <c r="A1135" s="96" t="s">
        <v>626</v>
      </c>
      <c r="B1135" s="568"/>
      <c r="C1135" s="393">
        <v>868</v>
      </c>
      <c r="D1135" s="364">
        <v>1450</v>
      </c>
      <c r="E1135" s="476"/>
    </row>
    <row r="1136" spans="1:5" ht="14.25">
      <c r="A1136" s="96" t="s">
        <v>611</v>
      </c>
      <c r="B1136" s="568"/>
      <c r="C1136" s="393">
        <f>15+73</f>
        <v>88</v>
      </c>
      <c r="D1136" s="364"/>
      <c r="E1136" s="476"/>
    </row>
    <row r="1137" spans="1:5" ht="14.25">
      <c r="A1137" s="96" t="s">
        <v>488</v>
      </c>
      <c r="B1137" s="568"/>
      <c r="C1137" s="393">
        <v>58</v>
      </c>
      <c r="D1137" s="364">
        <v>847</v>
      </c>
      <c r="E1137" s="476"/>
    </row>
    <row r="1138" spans="1:4" ht="14.25">
      <c r="A1138" s="96" t="s">
        <v>138</v>
      </c>
      <c r="B1138" s="568"/>
      <c r="C1138" s="393">
        <f>SUM(C1139:C1140)</f>
        <v>1068</v>
      </c>
      <c r="D1138" s="364">
        <f>SUM(D1139:D1140)</f>
        <v>0</v>
      </c>
    </row>
    <row r="1139" spans="1:4" ht="14.25">
      <c r="A1139" s="96" t="s">
        <v>1132</v>
      </c>
      <c r="B1139" s="568"/>
      <c r="C1139" s="393">
        <v>409</v>
      </c>
      <c r="D1139" s="364"/>
    </row>
    <row r="1140" spans="1:4" ht="14.25">
      <c r="A1140" s="253" t="s">
        <v>477</v>
      </c>
      <c r="B1140" s="568"/>
      <c r="C1140" s="393">
        <v>659</v>
      </c>
      <c r="D1140" s="364"/>
    </row>
    <row r="1141" spans="1:4" ht="14.25">
      <c r="A1141" s="96" t="s">
        <v>139</v>
      </c>
      <c r="B1141" s="568"/>
      <c r="C1141" s="393">
        <f>SUM(C1142:C1144)</f>
        <v>1580</v>
      </c>
      <c r="D1141" s="364">
        <f>SUM(D1142:D1145)</f>
        <v>281</v>
      </c>
    </row>
    <row r="1142" spans="1:4" ht="14.25">
      <c r="A1142" s="96" t="s">
        <v>1131</v>
      </c>
      <c r="B1142" s="568"/>
      <c r="C1142" s="393">
        <v>130</v>
      </c>
      <c r="D1142" s="364"/>
    </row>
    <row r="1143" spans="1:4" ht="14.25">
      <c r="A1143" s="96" t="s">
        <v>475</v>
      </c>
      <c r="B1143" s="568"/>
      <c r="C1143" s="393">
        <v>1000</v>
      </c>
      <c r="D1143" s="364"/>
    </row>
    <row r="1144" spans="1:8" ht="14.25">
      <c r="A1144" s="253" t="s">
        <v>476</v>
      </c>
      <c r="B1144" s="568"/>
      <c r="C1144" s="393">
        <v>450</v>
      </c>
      <c r="D1144" s="364"/>
      <c r="E1144" s="274"/>
      <c r="F1144" s="274"/>
      <c r="G1144" s="274"/>
      <c r="H1144" s="274"/>
    </row>
    <row r="1145" spans="1:8" ht="14.25">
      <c r="A1145" s="253" t="s">
        <v>487</v>
      </c>
      <c r="B1145" s="568"/>
      <c r="C1145" s="393"/>
      <c r="D1145" s="364">
        <v>281</v>
      </c>
      <c r="E1145" s="274"/>
      <c r="F1145" s="274"/>
      <c r="G1145" s="274"/>
      <c r="H1145" s="274"/>
    </row>
    <row r="1146" spans="1:5" ht="14.25">
      <c r="A1146" s="96" t="s">
        <v>140</v>
      </c>
      <c r="B1146" s="568"/>
      <c r="C1146" s="393">
        <f>C1127+C1132-C1138-C1141</f>
        <v>1415</v>
      </c>
      <c r="D1146" s="419">
        <f>D1127+D1132-D1138-D1141</f>
        <v>2766</v>
      </c>
      <c r="E1146" s="476"/>
    </row>
    <row r="1147" spans="1:4" ht="15" thickBot="1">
      <c r="A1147" s="257" t="s">
        <v>348</v>
      </c>
      <c r="B1147" s="575"/>
      <c r="C1147" s="395"/>
      <c r="D1147" s="396"/>
    </row>
    <row r="1148" spans="1:4" ht="14.25">
      <c r="A1148" s="359"/>
      <c r="B1148" s="357"/>
      <c r="C1148" s="483"/>
      <c r="D1148" s="509"/>
    </row>
    <row r="1149" spans="1:4" ht="14.25">
      <c r="A1149" s="359"/>
      <c r="B1149" s="357"/>
      <c r="C1149" s="358"/>
      <c r="D1149" s="386"/>
    </row>
    <row r="1150" spans="1:4" ht="15.75" thickBot="1">
      <c r="A1150" s="213" t="s">
        <v>685</v>
      </c>
      <c r="B1150" s="376"/>
      <c r="C1150" s="376"/>
      <c r="D1150" s="412"/>
    </row>
    <row r="1151" spans="1:8" s="445" customFormat="1" ht="15">
      <c r="A1151" s="442" t="s">
        <v>162</v>
      </c>
      <c r="B1151" s="567"/>
      <c r="C1151" s="443">
        <v>2002</v>
      </c>
      <c r="D1151" s="444">
        <v>2001</v>
      </c>
      <c r="E1151" s="448"/>
      <c r="F1151" s="448"/>
      <c r="G1151" s="448"/>
      <c r="H1151" s="448"/>
    </row>
    <row r="1152" spans="1:4" ht="14.25">
      <c r="A1152" s="96" t="s">
        <v>163</v>
      </c>
      <c r="B1152" s="568"/>
      <c r="C1152" s="363">
        <f>SUM(C1153:C1159)</f>
        <v>0</v>
      </c>
      <c r="D1152" s="364">
        <f>SUM(D1153:D1159)</f>
        <v>0</v>
      </c>
    </row>
    <row r="1153" spans="1:4" ht="14.25">
      <c r="A1153" s="96" t="s">
        <v>166</v>
      </c>
      <c r="B1153" s="568"/>
      <c r="C1153" s="363"/>
      <c r="D1153" s="364"/>
    </row>
    <row r="1154" spans="1:4" ht="14.25">
      <c r="A1154" s="96" t="s">
        <v>167</v>
      </c>
      <c r="B1154" s="568"/>
      <c r="C1154" s="363"/>
      <c r="D1154" s="364"/>
    </row>
    <row r="1155" spans="1:4" ht="14.25">
      <c r="A1155" s="96" t="s">
        <v>168</v>
      </c>
      <c r="B1155" s="568"/>
      <c r="C1155" s="363"/>
      <c r="D1155" s="364"/>
    </row>
    <row r="1156" spans="1:4" ht="14.25">
      <c r="A1156" s="96" t="s">
        <v>954</v>
      </c>
      <c r="B1156" s="568"/>
      <c r="C1156" s="363"/>
      <c r="D1156" s="364"/>
    </row>
    <row r="1157" spans="1:4" ht="14.25">
      <c r="A1157" s="96" t="s">
        <v>169</v>
      </c>
      <c r="B1157" s="568"/>
      <c r="C1157" s="363"/>
      <c r="D1157" s="364"/>
    </row>
    <row r="1158" spans="1:4" ht="14.25">
      <c r="A1158" s="96" t="s">
        <v>170</v>
      </c>
      <c r="B1158" s="568"/>
      <c r="C1158" s="363"/>
      <c r="D1158" s="364"/>
    </row>
    <row r="1159" spans="1:8" ht="14.25">
      <c r="A1159" s="96" t="s">
        <v>954</v>
      </c>
      <c r="B1159" s="568"/>
      <c r="C1159" s="363"/>
      <c r="D1159" s="364"/>
      <c r="E1159" s="274"/>
      <c r="F1159" s="274"/>
      <c r="G1159" s="274"/>
      <c r="H1159" s="274"/>
    </row>
    <row r="1160" spans="1:4" ht="14.25">
      <c r="A1160" s="96" t="s">
        <v>164</v>
      </c>
      <c r="B1160" s="568"/>
      <c r="C1160" s="363">
        <f>SUM(C1161:C1167)</f>
        <v>0</v>
      </c>
      <c r="D1160" s="364">
        <f>SUM(D1161:D1167)</f>
        <v>0</v>
      </c>
    </row>
    <row r="1161" spans="1:4" ht="14.25">
      <c r="A1161" s="96" t="s">
        <v>166</v>
      </c>
      <c r="B1161" s="568"/>
      <c r="C1161" s="363"/>
      <c r="D1161" s="364"/>
    </row>
    <row r="1162" spans="1:4" ht="14.25">
      <c r="A1162" s="96" t="s">
        <v>167</v>
      </c>
      <c r="B1162" s="568"/>
      <c r="C1162" s="363"/>
      <c r="D1162" s="364"/>
    </row>
    <row r="1163" spans="1:4" ht="14.25">
      <c r="A1163" s="96" t="s">
        <v>168</v>
      </c>
      <c r="B1163" s="568"/>
      <c r="C1163" s="363"/>
      <c r="D1163" s="364"/>
    </row>
    <row r="1164" spans="1:4" ht="14.25">
      <c r="A1164" s="96" t="s">
        <v>954</v>
      </c>
      <c r="B1164" s="568"/>
      <c r="C1164" s="363"/>
      <c r="D1164" s="364"/>
    </row>
    <row r="1165" spans="1:8" s="274" customFormat="1" ht="14.25">
      <c r="A1165" s="96" t="s">
        <v>169</v>
      </c>
      <c r="B1165" s="568"/>
      <c r="C1165" s="363"/>
      <c r="D1165" s="364"/>
      <c r="E1165"/>
      <c r="F1165"/>
      <c r="G1165"/>
      <c r="H1165"/>
    </row>
    <row r="1166" spans="1:4" ht="14.25">
      <c r="A1166" s="96" t="s">
        <v>170</v>
      </c>
      <c r="B1166" s="568"/>
      <c r="C1166" s="363"/>
      <c r="D1166" s="364"/>
    </row>
    <row r="1167" spans="1:4" ht="14.25">
      <c r="A1167" s="96" t="s">
        <v>954</v>
      </c>
      <c r="B1167" s="568"/>
      <c r="C1167" s="363"/>
      <c r="D1167" s="364"/>
    </row>
    <row r="1168" spans="1:4" ht="14.25">
      <c r="A1168" s="96" t="s">
        <v>165</v>
      </c>
      <c r="B1168" s="568"/>
      <c r="C1168" s="363">
        <f>SUM(C1169:C1175)</f>
        <v>0</v>
      </c>
      <c r="D1168" s="364">
        <f>SUM(D1169:D1175)</f>
        <v>0</v>
      </c>
    </row>
    <row r="1169" spans="1:4" ht="14.25">
      <c r="A1169" s="96" t="s">
        <v>166</v>
      </c>
      <c r="B1169" s="568"/>
      <c r="C1169" s="363"/>
      <c r="D1169" s="364"/>
    </row>
    <row r="1170" spans="1:4" ht="14.25">
      <c r="A1170" s="96" t="s">
        <v>167</v>
      </c>
      <c r="B1170" s="568"/>
      <c r="C1170" s="363"/>
      <c r="D1170" s="364"/>
    </row>
    <row r="1171" spans="1:4" ht="14.25">
      <c r="A1171" s="96" t="s">
        <v>168</v>
      </c>
      <c r="B1171" s="568"/>
      <c r="C1171" s="363"/>
      <c r="D1171" s="364"/>
    </row>
    <row r="1172" spans="1:4" ht="14.25">
      <c r="A1172" s="96" t="s">
        <v>954</v>
      </c>
      <c r="B1172" s="568"/>
      <c r="C1172" s="363"/>
      <c r="D1172" s="364"/>
    </row>
    <row r="1173" spans="1:4" ht="14.25">
      <c r="A1173" s="96" t="s">
        <v>169</v>
      </c>
      <c r="B1173" s="568"/>
      <c r="C1173" s="363"/>
      <c r="D1173" s="364"/>
    </row>
    <row r="1174" spans="1:4" ht="14.25">
      <c r="A1174" s="96" t="s">
        <v>170</v>
      </c>
      <c r="B1174" s="568"/>
      <c r="C1174" s="363"/>
      <c r="D1174" s="364"/>
    </row>
    <row r="1175" spans="1:4" ht="14.25">
      <c r="A1175" s="96" t="s">
        <v>954</v>
      </c>
      <c r="B1175" s="568"/>
      <c r="C1175" s="363"/>
      <c r="D1175" s="364"/>
    </row>
    <row r="1176" spans="1:4" ht="14.25">
      <c r="A1176" s="96" t="s">
        <v>171</v>
      </c>
      <c r="B1176" s="568"/>
      <c r="C1176" s="363">
        <f>SUM(C1177:C1182)</f>
        <v>0</v>
      </c>
      <c r="D1176" s="364">
        <f>SUM(D1177:D1182)</f>
        <v>0</v>
      </c>
    </row>
    <row r="1177" spans="1:4" ht="14.25">
      <c r="A1177" s="96" t="s">
        <v>166</v>
      </c>
      <c r="B1177" s="568"/>
      <c r="C1177" s="363"/>
      <c r="D1177" s="364"/>
    </row>
    <row r="1178" spans="1:4" ht="14.25">
      <c r="A1178" s="96" t="s">
        <v>167</v>
      </c>
      <c r="B1178" s="568"/>
      <c r="C1178" s="363"/>
      <c r="D1178" s="364"/>
    </row>
    <row r="1179" spans="1:4" ht="14.25">
      <c r="A1179" s="96" t="s">
        <v>168</v>
      </c>
      <c r="B1179" s="568"/>
      <c r="C1179" s="363"/>
      <c r="D1179" s="364"/>
    </row>
    <row r="1180" spans="1:4" ht="14.25">
      <c r="A1180" s="96" t="s">
        <v>954</v>
      </c>
      <c r="B1180" s="568"/>
      <c r="C1180" s="363"/>
      <c r="D1180" s="364"/>
    </row>
    <row r="1181" spans="1:4" ht="14.25">
      <c r="A1181" s="96" t="s">
        <v>169</v>
      </c>
      <c r="B1181" s="568"/>
      <c r="C1181" s="363"/>
      <c r="D1181" s="364"/>
    </row>
    <row r="1182" spans="1:4" ht="14.25">
      <c r="A1182" s="96" t="s">
        <v>170</v>
      </c>
      <c r="B1182" s="568"/>
      <c r="C1182" s="363"/>
      <c r="D1182" s="364"/>
    </row>
    <row r="1183" spans="1:4" ht="14.25">
      <c r="A1183" s="96" t="s">
        <v>954</v>
      </c>
      <c r="B1183" s="568"/>
      <c r="C1183" s="363"/>
      <c r="D1183" s="364"/>
    </row>
    <row r="1184" spans="1:4" ht="14.25">
      <c r="A1184" s="96" t="s">
        <v>768</v>
      </c>
      <c r="B1184" s="568"/>
      <c r="C1184" s="363">
        <f>SUM(C1185:C1190)</f>
        <v>0</v>
      </c>
      <c r="D1184" s="364">
        <f>SUM(D1185:D1190)</f>
        <v>0</v>
      </c>
    </row>
    <row r="1185" spans="1:4" ht="14.25">
      <c r="A1185" s="96" t="s">
        <v>166</v>
      </c>
      <c r="B1185" s="568"/>
      <c r="C1185" s="363">
        <f>2282-2282</f>
        <v>0</v>
      </c>
      <c r="D1185" s="364"/>
    </row>
    <row r="1186" spans="1:4" ht="14.25">
      <c r="A1186" s="96" t="s">
        <v>167</v>
      </c>
      <c r="B1186" s="568"/>
      <c r="C1186" s="363"/>
      <c r="D1186" s="364"/>
    </row>
    <row r="1187" spans="1:4" ht="14.25">
      <c r="A1187" s="96" t="s">
        <v>168</v>
      </c>
      <c r="B1187" s="568"/>
      <c r="C1187" s="363"/>
      <c r="D1187" s="364"/>
    </row>
    <row r="1188" spans="1:4" ht="14.25">
      <c r="A1188" s="96" t="s">
        <v>954</v>
      </c>
      <c r="B1188" s="568"/>
      <c r="C1188" s="363"/>
      <c r="D1188" s="364"/>
    </row>
    <row r="1189" spans="1:4" ht="14.25">
      <c r="A1189" s="96" t="s">
        <v>169</v>
      </c>
      <c r="B1189" s="568"/>
      <c r="C1189" s="363"/>
      <c r="D1189" s="364"/>
    </row>
    <row r="1190" spans="1:4" ht="14.25">
      <c r="A1190" s="96" t="s">
        <v>170</v>
      </c>
      <c r="B1190" s="568"/>
      <c r="C1190" s="363"/>
      <c r="D1190" s="364"/>
    </row>
    <row r="1191" spans="1:4" ht="14.25">
      <c r="A1191" s="96" t="s">
        <v>954</v>
      </c>
      <c r="B1191" s="568"/>
      <c r="C1191" s="363"/>
      <c r="D1191" s="364"/>
    </row>
    <row r="1192" spans="1:4" ht="14.25">
      <c r="A1192" s="96" t="s">
        <v>769</v>
      </c>
      <c r="B1192" s="568"/>
      <c r="C1192" s="363">
        <f>SUM(C1193:C1198)</f>
        <v>34</v>
      </c>
      <c r="D1192" s="364">
        <f>SUM(D1193:D1198)</f>
        <v>303</v>
      </c>
    </row>
    <row r="1193" spans="1:4" ht="14.25">
      <c r="A1193" s="96" t="s">
        <v>166</v>
      </c>
      <c r="B1193" s="568"/>
      <c r="C1193" s="363"/>
      <c r="D1193" s="364"/>
    </row>
    <row r="1194" spans="1:4" ht="14.25">
      <c r="A1194" s="96" t="s">
        <v>167</v>
      </c>
      <c r="B1194" s="568"/>
      <c r="C1194" s="363"/>
      <c r="D1194" s="364"/>
    </row>
    <row r="1195" spans="1:4" ht="14.25">
      <c r="A1195" s="96" t="s">
        <v>168</v>
      </c>
      <c r="B1195" s="568"/>
      <c r="C1195" s="363"/>
      <c r="D1195" s="364"/>
    </row>
    <row r="1196" spans="1:4" ht="14.25">
      <c r="A1196" s="96" t="s">
        <v>954</v>
      </c>
      <c r="B1196" s="568"/>
      <c r="C1196" s="363"/>
      <c r="D1196" s="364"/>
    </row>
    <row r="1197" spans="1:5" ht="14.25">
      <c r="A1197" s="96" t="s">
        <v>169</v>
      </c>
      <c r="B1197" s="568"/>
      <c r="C1197" s="363">
        <v>34</v>
      </c>
      <c r="D1197" s="419">
        <v>303</v>
      </c>
      <c r="E1197" s="476"/>
    </row>
    <row r="1198" spans="1:4" ht="14.25">
      <c r="A1198" s="96" t="s">
        <v>170</v>
      </c>
      <c r="B1198" s="568"/>
      <c r="C1198" s="363"/>
      <c r="D1198" s="364"/>
    </row>
    <row r="1199" spans="1:4" ht="14.25">
      <c r="A1199" s="96" t="s">
        <v>954</v>
      </c>
      <c r="B1199" s="568"/>
      <c r="C1199" s="363"/>
      <c r="D1199" s="364"/>
    </row>
    <row r="1200" spans="1:4" ht="15.75" thickBot="1">
      <c r="A1200" s="255" t="s">
        <v>770</v>
      </c>
      <c r="B1200" s="569"/>
      <c r="C1200" s="398">
        <f>C1152+C1160+C1168+C1176+C1184+C1192</f>
        <v>34</v>
      </c>
      <c r="D1200" s="399">
        <f>D1152+D1160+D1168+D1176+D1184+D1192</f>
        <v>303</v>
      </c>
    </row>
    <row r="1201" spans="1:4" ht="14.25">
      <c r="A1201" s="359"/>
      <c r="B1201" s="482"/>
      <c r="C1201" s="482"/>
      <c r="D1201" s="482"/>
    </row>
    <row r="1202" spans="1:4" ht="14.25">
      <c r="A1202" s="359"/>
      <c r="B1202" s="357"/>
      <c r="C1202" s="358"/>
      <c r="D1202" s="358"/>
    </row>
    <row r="1203" spans="1:4" ht="15.75" thickBot="1">
      <c r="A1203" s="213" t="s">
        <v>686</v>
      </c>
      <c r="B1203" s="376"/>
      <c r="C1203" s="376"/>
      <c r="D1203" s="376"/>
    </row>
    <row r="1204" spans="1:4" s="448" customFormat="1" ht="30">
      <c r="A1204" s="442" t="s">
        <v>771</v>
      </c>
      <c r="B1204" s="567"/>
      <c r="C1204" s="443">
        <v>2002</v>
      </c>
      <c r="D1204" s="444">
        <v>2001</v>
      </c>
    </row>
    <row r="1205" spans="1:4" ht="14.25">
      <c r="A1205" s="96" t="s">
        <v>772</v>
      </c>
      <c r="B1205" s="577"/>
      <c r="C1205" s="408">
        <f>C1200</f>
        <v>34</v>
      </c>
      <c r="D1205" s="378">
        <f>D1200</f>
        <v>303</v>
      </c>
    </row>
    <row r="1206" spans="1:4" ht="14.25">
      <c r="A1206" s="96" t="s">
        <v>773</v>
      </c>
      <c r="B1206" s="577"/>
      <c r="C1206" s="408"/>
      <c r="D1206" s="378"/>
    </row>
    <row r="1207" spans="1:4" ht="14.25">
      <c r="A1207" s="96" t="s">
        <v>774</v>
      </c>
      <c r="B1207" s="577"/>
      <c r="C1207" s="408"/>
      <c r="D1207" s="378"/>
    </row>
    <row r="1208" spans="1:4" ht="15.75" thickBot="1">
      <c r="A1208" s="255" t="s">
        <v>770</v>
      </c>
      <c r="B1208" s="599"/>
      <c r="C1208" s="409">
        <f>SUM(C1205:C1207)</f>
        <v>34</v>
      </c>
      <c r="D1208" s="410">
        <f>SUM(D1205:D1207)</f>
        <v>303</v>
      </c>
    </row>
    <row r="1209" spans="1:4" ht="14.25">
      <c r="A1209" s="359"/>
      <c r="B1209" s="482"/>
      <c r="C1209" s="482"/>
      <c r="D1209" s="482"/>
    </row>
    <row r="1210" spans="1:4" ht="15.75" thickBot="1">
      <c r="A1210" s="213" t="s">
        <v>687</v>
      </c>
      <c r="B1210" s="376"/>
      <c r="C1210" s="376"/>
      <c r="D1210" s="376"/>
    </row>
    <row r="1211" spans="1:8" s="448" customFormat="1" ht="15">
      <c r="A1211" s="442" t="s">
        <v>775</v>
      </c>
      <c r="B1211" s="567"/>
      <c r="C1211" s="443">
        <v>2002</v>
      </c>
      <c r="D1211" s="444">
        <v>2001</v>
      </c>
      <c r="E1211" s="445"/>
      <c r="F1211" s="445"/>
      <c r="G1211" s="445"/>
      <c r="H1211" s="445"/>
    </row>
    <row r="1212" spans="1:4" ht="14.25">
      <c r="A1212" s="96" t="s">
        <v>230</v>
      </c>
      <c r="B1212" s="568"/>
      <c r="C1212" s="363">
        <f>C1200</f>
        <v>34</v>
      </c>
      <c r="D1212" s="364">
        <f>D1205</f>
        <v>303</v>
      </c>
    </row>
    <row r="1213" spans="1:4" ht="14.25">
      <c r="A1213" s="96" t="s">
        <v>231</v>
      </c>
      <c r="B1213" s="568"/>
      <c r="C1213" s="363">
        <f>C1215+C1217</f>
        <v>0</v>
      </c>
      <c r="D1213" s="364">
        <f>D1215+D1217</f>
        <v>0</v>
      </c>
    </row>
    <row r="1214" spans="1:4" ht="14.25">
      <c r="A1214" s="96" t="s">
        <v>232</v>
      </c>
      <c r="B1214" s="568"/>
      <c r="C1214" s="363"/>
      <c r="D1214" s="364"/>
    </row>
    <row r="1215" spans="1:4" ht="14.25">
      <c r="A1215" s="96" t="s">
        <v>233</v>
      </c>
      <c r="B1215" s="568"/>
      <c r="C1215" s="363"/>
      <c r="D1215" s="364"/>
    </row>
    <row r="1216" spans="1:4" ht="14.25">
      <c r="A1216" s="96" t="s">
        <v>348</v>
      </c>
      <c r="B1216" s="568"/>
      <c r="C1216" s="363"/>
      <c r="D1216" s="364"/>
    </row>
    <row r="1217" spans="1:8" s="274" customFormat="1" ht="14.25">
      <c r="A1217" s="96" t="s">
        <v>234</v>
      </c>
      <c r="B1217" s="568"/>
      <c r="C1217" s="363"/>
      <c r="D1217" s="364"/>
      <c r="E1217"/>
      <c r="F1217"/>
      <c r="G1217"/>
      <c r="H1217"/>
    </row>
    <row r="1218" spans="1:4" ht="15.75" thickBot="1">
      <c r="A1218" s="255" t="s">
        <v>770</v>
      </c>
      <c r="B1218" s="569"/>
      <c r="C1218" s="398">
        <f>C1212+C1213</f>
        <v>34</v>
      </c>
      <c r="D1218" s="399">
        <f>D1212+D1213</f>
        <v>303</v>
      </c>
    </row>
    <row r="1219" spans="1:8" ht="26.25" customHeight="1" thickBot="1">
      <c r="A1219" s="213" t="s">
        <v>567</v>
      </c>
      <c r="B1219" s="482"/>
      <c r="C1219" s="482"/>
      <c r="D1219" s="482"/>
      <c r="E1219" s="274"/>
      <c r="F1219" s="274"/>
      <c r="G1219" s="274"/>
      <c r="H1219" s="274"/>
    </row>
    <row r="1220" spans="1:4" s="448" customFormat="1" ht="15">
      <c r="A1220" s="442" t="s">
        <v>552</v>
      </c>
      <c r="B1220" s="567"/>
      <c r="C1220" s="443">
        <v>2002</v>
      </c>
      <c r="D1220" s="444">
        <v>2001</v>
      </c>
    </row>
    <row r="1221" spans="1:4" ht="14.25">
      <c r="A1221" s="96" t="s">
        <v>163</v>
      </c>
      <c r="B1221" s="568"/>
      <c r="C1221" s="363">
        <f>SUM(C1222,C1224:C1226,C1228,C1231:C1233)</f>
        <v>0</v>
      </c>
      <c r="D1221" s="364">
        <f>SUM(D1222,D1224:D1226,D1228,D1231:D1233)</f>
        <v>21</v>
      </c>
    </row>
    <row r="1222" spans="1:4" ht="14.25">
      <c r="A1222" s="96" t="s">
        <v>546</v>
      </c>
      <c r="B1222" s="568"/>
      <c r="C1222" s="363">
        <f>2990-2990</f>
        <v>0</v>
      </c>
      <c r="D1222" s="364"/>
    </row>
    <row r="1223" spans="1:4" ht="14.25">
      <c r="A1223" s="96" t="s">
        <v>1160</v>
      </c>
      <c r="B1223" s="568"/>
      <c r="C1223" s="363"/>
      <c r="D1223" s="364"/>
    </row>
    <row r="1224" spans="1:4" ht="14.25">
      <c r="A1224" s="96" t="s">
        <v>167</v>
      </c>
      <c r="B1224" s="568"/>
      <c r="C1224" s="363"/>
      <c r="D1224" s="364"/>
    </row>
    <row r="1225" spans="1:8" s="274" customFormat="1" ht="14.25">
      <c r="A1225" s="96" t="s">
        <v>1161</v>
      </c>
      <c r="B1225" s="568"/>
      <c r="C1225" s="363"/>
      <c r="D1225" s="364"/>
      <c r="E1225"/>
      <c r="F1225"/>
      <c r="G1225"/>
      <c r="H1225"/>
    </row>
    <row r="1226" spans="1:4" ht="14.25">
      <c r="A1226" s="96" t="s">
        <v>168</v>
      </c>
      <c r="B1226" s="568"/>
      <c r="C1226" s="363"/>
      <c r="D1226" s="364"/>
    </row>
    <row r="1227" spans="1:4" ht="14.25">
      <c r="A1227" s="96" t="s">
        <v>954</v>
      </c>
      <c r="B1227" s="568"/>
      <c r="C1227" s="363"/>
      <c r="D1227" s="364"/>
    </row>
    <row r="1228" spans="1:8" ht="14.25">
      <c r="A1228" s="96" t="s">
        <v>547</v>
      </c>
      <c r="B1228" s="568"/>
      <c r="C1228" s="363">
        <f>C1229+C1230</f>
        <v>0</v>
      </c>
      <c r="D1228" s="364">
        <f>D1229+D1230</f>
        <v>21</v>
      </c>
      <c r="E1228" s="274"/>
      <c r="F1228" s="274"/>
      <c r="G1228" s="274"/>
      <c r="H1228" s="274"/>
    </row>
    <row r="1229" spans="1:4" ht="14.25">
      <c r="A1229" s="96" t="s">
        <v>502</v>
      </c>
      <c r="B1229" s="568"/>
      <c r="C1229" s="363"/>
      <c r="D1229" s="364">
        <v>21</v>
      </c>
    </row>
    <row r="1230" spans="1:4" ht="14.25">
      <c r="A1230" s="96" t="s">
        <v>503</v>
      </c>
      <c r="B1230" s="568"/>
      <c r="C1230" s="363"/>
      <c r="D1230" s="364"/>
    </row>
    <row r="1231" spans="1:4" ht="14.25">
      <c r="A1231" s="96" t="s">
        <v>548</v>
      </c>
      <c r="B1231" s="568"/>
      <c r="C1231" s="363"/>
      <c r="D1231" s="364"/>
    </row>
    <row r="1232" spans="1:4" ht="14.25">
      <c r="A1232" s="96" t="s">
        <v>549</v>
      </c>
      <c r="B1232" s="568"/>
      <c r="C1232" s="363"/>
      <c r="D1232" s="364"/>
    </row>
    <row r="1233" spans="1:4" ht="14.25">
      <c r="A1233" s="96" t="s">
        <v>170</v>
      </c>
      <c r="B1233" s="568"/>
      <c r="C1233" s="363"/>
      <c r="D1233" s="364"/>
    </row>
    <row r="1234" spans="1:8" s="274" customFormat="1" ht="14.25">
      <c r="A1234" s="253" t="s">
        <v>965</v>
      </c>
      <c r="B1234" s="568"/>
      <c r="C1234" s="363"/>
      <c r="D1234" s="364"/>
      <c r="E1234"/>
      <c r="F1234"/>
      <c r="G1234"/>
      <c r="H1234"/>
    </row>
    <row r="1235" spans="1:4" ht="14.25">
      <c r="A1235" s="96" t="s">
        <v>164</v>
      </c>
      <c r="B1235" s="568"/>
      <c r="C1235" s="363">
        <f>SUM(C1236,C1238:C1240,C1242,C1245:C1247)</f>
        <v>0</v>
      </c>
      <c r="D1235" s="364">
        <f>SUM(D1236,D1238:D1240,D1242,D1245:D1247)</f>
        <v>0</v>
      </c>
    </row>
    <row r="1236" spans="1:4" ht="14.25">
      <c r="A1236" s="96" t="s">
        <v>546</v>
      </c>
      <c r="B1236" s="568"/>
      <c r="C1236" s="363"/>
      <c r="D1236" s="364"/>
    </row>
    <row r="1237" spans="1:4" ht="14.25">
      <c r="A1237" s="96" t="s">
        <v>1160</v>
      </c>
      <c r="B1237" s="568"/>
      <c r="C1237" s="363"/>
      <c r="D1237" s="364"/>
    </row>
    <row r="1238" spans="1:4" ht="14.25">
      <c r="A1238" s="96" t="s">
        <v>167</v>
      </c>
      <c r="B1238" s="568"/>
      <c r="C1238" s="363"/>
      <c r="D1238" s="364"/>
    </row>
    <row r="1239" spans="1:4" ht="14.25">
      <c r="A1239" s="96" t="s">
        <v>1161</v>
      </c>
      <c r="B1239" s="568"/>
      <c r="C1239" s="363"/>
      <c r="D1239" s="364"/>
    </row>
    <row r="1240" spans="1:4" ht="14.25">
      <c r="A1240" s="96" t="s">
        <v>168</v>
      </c>
      <c r="B1240" s="568"/>
      <c r="C1240" s="363"/>
      <c r="D1240" s="364"/>
    </row>
    <row r="1241" spans="1:4" ht="14.25">
      <c r="A1241" s="96" t="s">
        <v>495</v>
      </c>
      <c r="B1241" s="568"/>
      <c r="C1241" s="363"/>
      <c r="D1241" s="364"/>
    </row>
    <row r="1242" spans="1:4" ht="14.25">
      <c r="A1242" s="96" t="s">
        <v>547</v>
      </c>
      <c r="B1242" s="568"/>
      <c r="C1242" s="363">
        <f>C1243+C1244</f>
        <v>0</v>
      </c>
      <c r="D1242" s="364">
        <f>D1243+D1244</f>
        <v>0</v>
      </c>
    </row>
    <row r="1243" spans="1:4" ht="14.25">
      <c r="A1243" s="96" t="s">
        <v>502</v>
      </c>
      <c r="B1243" s="568"/>
      <c r="C1243" s="363"/>
      <c r="D1243" s="364"/>
    </row>
    <row r="1244" spans="1:4" ht="14.25">
      <c r="A1244" s="96" t="s">
        <v>503</v>
      </c>
      <c r="B1244" s="568"/>
      <c r="C1244" s="363"/>
      <c r="D1244" s="364"/>
    </row>
    <row r="1245" spans="1:4" ht="14.25">
      <c r="A1245" s="96" t="s">
        <v>548</v>
      </c>
      <c r="B1245" s="568"/>
      <c r="C1245" s="363"/>
      <c r="D1245" s="364"/>
    </row>
    <row r="1246" spans="1:4" ht="14.25">
      <c r="A1246" s="96" t="s">
        <v>549</v>
      </c>
      <c r="B1246" s="568"/>
      <c r="C1246" s="363"/>
      <c r="D1246" s="364"/>
    </row>
    <row r="1247" spans="1:4" ht="14.25">
      <c r="A1247" s="96" t="s">
        <v>170</v>
      </c>
      <c r="B1247" s="568"/>
      <c r="C1247" s="363"/>
      <c r="D1247" s="364"/>
    </row>
    <row r="1248" spans="1:4" ht="14.25">
      <c r="A1248" s="96" t="s">
        <v>954</v>
      </c>
      <c r="B1248" s="568"/>
      <c r="C1248" s="363"/>
      <c r="D1248" s="364"/>
    </row>
    <row r="1249" spans="1:4" ht="14.25">
      <c r="A1249" s="96" t="s">
        <v>165</v>
      </c>
      <c r="B1249" s="568"/>
      <c r="C1249" s="363">
        <f>SUM(C1250,C1252:C1254,C1256,C1259:C1261)</f>
        <v>0</v>
      </c>
      <c r="D1249" s="364">
        <f>SUM(D1250,D1252:D1254,D1256,D1259:D1261)</f>
        <v>0</v>
      </c>
    </row>
    <row r="1250" spans="1:4" ht="14.25">
      <c r="A1250" s="96" t="s">
        <v>546</v>
      </c>
      <c r="B1250" s="568"/>
      <c r="C1250" s="363"/>
      <c r="D1250" s="364"/>
    </row>
    <row r="1251" spans="1:4" ht="14.25">
      <c r="A1251" s="96" t="s">
        <v>1160</v>
      </c>
      <c r="B1251" s="568"/>
      <c r="C1251" s="363"/>
      <c r="D1251" s="364"/>
    </row>
    <row r="1252" spans="1:4" ht="14.25">
      <c r="A1252" s="96" t="s">
        <v>167</v>
      </c>
      <c r="B1252" s="568"/>
      <c r="C1252" s="363"/>
      <c r="D1252" s="364"/>
    </row>
    <row r="1253" spans="1:4" ht="14.25">
      <c r="A1253" s="96" t="s">
        <v>1161</v>
      </c>
      <c r="B1253" s="568"/>
      <c r="C1253" s="363"/>
      <c r="D1253" s="364"/>
    </row>
    <row r="1254" spans="1:4" ht="14.25">
      <c r="A1254" s="96" t="s">
        <v>168</v>
      </c>
      <c r="B1254" s="568"/>
      <c r="C1254" s="363">
        <f>SUM(C1255)</f>
        <v>0</v>
      </c>
      <c r="D1254" s="364">
        <f>SUM(D1255)</f>
        <v>0</v>
      </c>
    </row>
    <row r="1255" spans="1:4" ht="14.25">
      <c r="A1255" s="96" t="s">
        <v>741</v>
      </c>
      <c r="B1255" s="568"/>
      <c r="C1255" s="363"/>
      <c r="D1255" s="364"/>
    </row>
    <row r="1256" spans="1:4" ht="14.25">
      <c r="A1256" s="96" t="s">
        <v>547</v>
      </c>
      <c r="B1256" s="568"/>
      <c r="C1256" s="363">
        <f>C1257+C1258</f>
        <v>0</v>
      </c>
      <c r="D1256" s="364">
        <f>D1257+D1258</f>
        <v>0</v>
      </c>
    </row>
    <row r="1257" spans="1:4" ht="14.25">
      <c r="A1257" s="96" t="s">
        <v>502</v>
      </c>
      <c r="B1257" s="568"/>
      <c r="C1257" s="363"/>
      <c r="D1257" s="364"/>
    </row>
    <row r="1258" spans="1:4" ht="14.25">
      <c r="A1258" s="96" t="s">
        <v>503</v>
      </c>
      <c r="B1258" s="568"/>
      <c r="C1258" s="363"/>
      <c r="D1258" s="364"/>
    </row>
    <row r="1259" spans="1:4" ht="14.25">
      <c r="A1259" s="96" t="s">
        <v>548</v>
      </c>
      <c r="B1259" s="568"/>
      <c r="C1259" s="363"/>
      <c r="D1259" s="364"/>
    </row>
    <row r="1260" spans="1:4" ht="14.25">
      <c r="A1260" s="96" t="s">
        <v>549</v>
      </c>
      <c r="B1260" s="568"/>
      <c r="C1260" s="363"/>
      <c r="D1260" s="364"/>
    </row>
    <row r="1261" spans="1:4" ht="14.25">
      <c r="A1261" s="96" t="s">
        <v>170</v>
      </c>
      <c r="B1261" s="568"/>
      <c r="C1261" s="363"/>
      <c r="D1261" s="364"/>
    </row>
    <row r="1262" spans="1:4" ht="14.25">
      <c r="A1262" s="96" t="s">
        <v>954</v>
      </c>
      <c r="B1262" s="568"/>
      <c r="C1262" s="363"/>
      <c r="D1262" s="364"/>
    </row>
    <row r="1263" spans="1:4" ht="14.25">
      <c r="A1263" s="96" t="s">
        <v>171</v>
      </c>
      <c r="B1263" s="568"/>
      <c r="C1263" s="363">
        <f>SUM(C1264,C1266:C1268,C1270,C1273:C1275)</f>
        <v>0</v>
      </c>
      <c r="D1263" s="364">
        <f>SUM(D1264,D1266:D1268,D1270,D1273:D1275)</f>
        <v>0</v>
      </c>
    </row>
    <row r="1264" spans="1:4" ht="14.25">
      <c r="A1264" s="96" t="s">
        <v>546</v>
      </c>
      <c r="B1264" s="568"/>
      <c r="C1264" s="363"/>
      <c r="D1264" s="364"/>
    </row>
    <row r="1265" spans="1:4" ht="14.25">
      <c r="A1265" s="96" t="s">
        <v>1160</v>
      </c>
      <c r="B1265" s="568"/>
      <c r="C1265" s="363"/>
      <c r="D1265" s="364"/>
    </row>
    <row r="1266" spans="1:4" ht="14.25">
      <c r="A1266" s="96" t="s">
        <v>167</v>
      </c>
      <c r="B1266" s="568"/>
      <c r="C1266" s="363"/>
      <c r="D1266" s="364"/>
    </row>
    <row r="1267" spans="1:4" ht="14.25">
      <c r="A1267" s="96" t="s">
        <v>1161</v>
      </c>
      <c r="B1267" s="568"/>
      <c r="C1267" s="363"/>
      <c r="D1267" s="364"/>
    </row>
    <row r="1268" spans="1:4" ht="14.25">
      <c r="A1268" s="96" t="s">
        <v>168</v>
      </c>
      <c r="B1268" s="568"/>
      <c r="C1268" s="363"/>
      <c r="D1268" s="364"/>
    </row>
    <row r="1269" spans="1:4" ht="14.25">
      <c r="A1269" s="96" t="s">
        <v>954</v>
      </c>
      <c r="B1269" s="568"/>
      <c r="C1269" s="363"/>
      <c r="D1269" s="364"/>
    </row>
    <row r="1270" spans="1:4" ht="14.25">
      <c r="A1270" s="96" t="s">
        <v>547</v>
      </c>
      <c r="B1270" s="568"/>
      <c r="C1270" s="363">
        <f>C1271+C1272</f>
        <v>0</v>
      </c>
      <c r="D1270" s="364">
        <f>D1271+D1272</f>
        <v>0</v>
      </c>
    </row>
    <row r="1271" spans="1:4" ht="14.25">
      <c r="A1271" s="96" t="s">
        <v>502</v>
      </c>
      <c r="B1271" s="568"/>
      <c r="C1271" s="363"/>
      <c r="D1271" s="364"/>
    </row>
    <row r="1272" spans="1:4" ht="14.25">
      <c r="A1272" s="96" t="s">
        <v>503</v>
      </c>
      <c r="B1272" s="568"/>
      <c r="C1272" s="363"/>
      <c r="D1272" s="364"/>
    </row>
    <row r="1273" spans="1:4" ht="14.25">
      <c r="A1273" s="96" t="s">
        <v>548</v>
      </c>
      <c r="B1273" s="568"/>
      <c r="C1273" s="363"/>
      <c r="D1273" s="364"/>
    </row>
    <row r="1274" spans="1:4" ht="14.25">
      <c r="A1274" s="96" t="s">
        <v>549</v>
      </c>
      <c r="B1274" s="568"/>
      <c r="C1274" s="363"/>
      <c r="D1274" s="364"/>
    </row>
    <row r="1275" spans="1:4" ht="14.25">
      <c r="A1275" s="96" t="s">
        <v>170</v>
      </c>
      <c r="B1275" s="568"/>
      <c r="C1275" s="363"/>
      <c r="D1275" s="364"/>
    </row>
    <row r="1276" spans="1:4" ht="14.25">
      <c r="A1276" s="96" t="s">
        <v>954</v>
      </c>
      <c r="B1276" s="568"/>
      <c r="C1276" s="363"/>
      <c r="D1276" s="364"/>
    </row>
    <row r="1277" spans="1:4" ht="14.25">
      <c r="A1277" s="96" t="s">
        <v>768</v>
      </c>
      <c r="B1277" s="588"/>
      <c r="C1277" s="393">
        <f>SUM(C1278,C1280:C1282,C1284,C1287:C1289)</f>
        <v>181</v>
      </c>
      <c r="D1277" s="364">
        <f>SUM(D1278,D1280:D1282,D1284,D1287:D1289)</f>
        <v>1</v>
      </c>
    </row>
    <row r="1278" spans="1:4" ht="14.25">
      <c r="A1278" s="96" t="s">
        <v>546</v>
      </c>
      <c r="B1278" s="568"/>
      <c r="C1278" s="393">
        <f>719-719</f>
        <v>0</v>
      </c>
      <c r="D1278" s="419">
        <f>2990-2990</f>
        <v>0</v>
      </c>
    </row>
    <row r="1279" spans="1:4" ht="14.25">
      <c r="A1279" s="96" t="s">
        <v>1160</v>
      </c>
      <c r="B1279" s="568"/>
      <c r="C1279" s="363"/>
      <c r="D1279" s="364"/>
    </row>
    <row r="1280" spans="1:4" ht="14.25">
      <c r="A1280" s="96" t="s">
        <v>167</v>
      </c>
      <c r="B1280" s="568"/>
      <c r="C1280" s="363"/>
      <c r="D1280" s="364"/>
    </row>
    <row r="1281" spans="1:4" ht="14.25">
      <c r="A1281" s="96" t="s">
        <v>1161</v>
      </c>
      <c r="B1281" s="568"/>
      <c r="C1281" s="363"/>
      <c r="D1281" s="364"/>
    </row>
    <row r="1282" spans="1:4" ht="14.25">
      <c r="A1282" s="96" t="s">
        <v>168</v>
      </c>
      <c r="B1282" s="568"/>
      <c r="C1282" s="363">
        <v>180</v>
      </c>
      <c r="D1282" s="364"/>
    </row>
    <row r="1283" spans="1:4" ht="14.25">
      <c r="A1283" s="96" t="s">
        <v>954</v>
      </c>
      <c r="B1283" s="568"/>
      <c r="C1283" s="363"/>
      <c r="D1283" s="364"/>
    </row>
    <row r="1284" spans="1:4" ht="14.25">
      <c r="A1284" s="96" t="s">
        <v>547</v>
      </c>
      <c r="B1284" s="568"/>
      <c r="C1284" s="363">
        <f>C1285+C1286</f>
        <v>1</v>
      </c>
      <c r="D1284" s="364">
        <f>D1285+D1286</f>
        <v>1</v>
      </c>
    </row>
    <row r="1285" spans="1:4" ht="14.25">
      <c r="A1285" s="96" t="s">
        <v>502</v>
      </c>
      <c r="B1285" s="568"/>
      <c r="C1285" s="363">
        <v>1</v>
      </c>
      <c r="D1285" s="364">
        <f>152+1-152</f>
        <v>1</v>
      </c>
    </row>
    <row r="1286" spans="1:4" ht="14.25">
      <c r="A1286" s="96" t="s">
        <v>503</v>
      </c>
      <c r="B1286" s="568"/>
      <c r="C1286" s="363"/>
      <c r="D1286" s="364"/>
    </row>
    <row r="1287" spans="1:4" ht="14.25">
      <c r="A1287" s="96" t="s">
        <v>548</v>
      </c>
      <c r="B1287" s="568"/>
      <c r="C1287" s="363"/>
      <c r="D1287" s="364"/>
    </row>
    <row r="1288" spans="1:4" ht="14.25">
      <c r="A1288" s="96" t="s">
        <v>549</v>
      </c>
      <c r="B1288" s="568"/>
      <c r="C1288" s="363"/>
      <c r="D1288" s="364"/>
    </row>
    <row r="1289" spans="1:4" ht="14.25">
      <c r="A1289" s="96" t="s">
        <v>170</v>
      </c>
      <c r="B1289" s="568"/>
      <c r="C1289" s="363"/>
      <c r="D1289" s="364"/>
    </row>
    <row r="1290" spans="1:4" ht="14.25">
      <c r="A1290" s="96" t="s">
        <v>954</v>
      </c>
      <c r="B1290" s="568"/>
      <c r="C1290" s="363"/>
      <c r="D1290" s="364"/>
    </row>
    <row r="1291" spans="1:4" ht="14.25">
      <c r="A1291" s="96" t="s">
        <v>769</v>
      </c>
      <c r="B1291" s="568"/>
      <c r="C1291" s="363">
        <f>SUM(C1292,C1294:C1296,C1299,C1302:C1304)</f>
        <v>14578</v>
      </c>
      <c r="D1291" s="629">
        <f>SUM(D1292,D1294:D1296,D1299,D1302:D1304)</f>
        <v>31770</v>
      </c>
    </row>
    <row r="1292" spans="1:4" ht="14.25">
      <c r="A1292" s="96" t="s">
        <v>546</v>
      </c>
      <c r="B1292" s="568"/>
      <c r="C1292" s="363">
        <v>2383</v>
      </c>
      <c r="D1292" s="364">
        <v>4722</v>
      </c>
    </row>
    <row r="1293" spans="1:4" ht="14.25">
      <c r="A1293" s="96" t="s">
        <v>1160</v>
      </c>
      <c r="B1293" s="568"/>
      <c r="C1293" s="363"/>
      <c r="D1293" s="364"/>
    </row>
    <row r="1294" spans="1:4" ht="14.25">
      <c r="A1294" s="96" t="s">
        <v>167</v>
      </c>
      <c r="B1294" s="568"/>
      <c r="C1294" s="363"/>
      <c r="D1294" s="364"/>
    </row>
    <row r="1295" spans="1:4" ht="14.25">
      <c r="A1295" s="96" t="s">
        <v>1161</v>
      </c>
      <c r="B1295" s="568"/>
      <c r="C1295" s="363"/>
      <c r="D1295" s="364"/>
    </row>
    <row r="1296" spans="1:4" ht="14.25">
      <c r="A1296" s="96" t="s">
        <v>168</v>
      </c>
      <c r="B1296" s="568"/>
      <c r="C1296" s="363">
        <f>SUM(C1297:C1298)</f>
        <v>903</v>
      </c>
      <c r="D1296" s="364">
        <f>SUM(D1297:D1298)</f>
        <v>2544</v>
      </c>
    </row>
    <row r="1297" spans="1:4" ht="14.25">
      <c r="A1297" s="96" t="s">
        <v>742</v>
      </c>
      <c r="B1297" s="568"/>
      <c r="C1297" s="363">
        <v>306</v>
      </c>
      <c r="D1297" s="364">
        <v>1139</v>
      </c>
    </row>
    <row r="1298" spans="1:5" ht="14.25">
      <c r="A1298" s="253" t="s">
        <v>574</v>
      </c>
      <c r="B1298" s="568"/>
      <c r="C1298" s="363">
        <f>91+506</f>
        <v>597</v>
      </c>
      <c r="D1298" s="419">
        <v>1405</v>
      </c>
      <c r="E1298" s="476"/>
    </row>
    <row r="1299" spans="1:4" ht="14.25">
      <c r="A1299" s="96" t="s">
        <v>547</v>
      </c>
      <c r="B1299" s="568"/>
      <c r="C1299" s="363">
        <f>SUM(C1300:C1301)</f>
        <v>9592</v>
      </c>
      <c r="D1299" s="364">
        <f>D1300+D1301</f>
        <v>22429</v>
      </c>
    </row>
    <row r="1300" spans="1:4" ht="14.25">
      <c r="A1300" s="96" t="s">
        <v>502</v>
      </c>
      <c r="B1300" s="568"/>
      <c r="C1300" s="363">
        <f>74+211+956+7570</f>
        <v>8811</v>
      </c>
      <c r="D1300" s="364">
        <f>22223+206</f>
        <v>22429</v>
      </c>
    </row>
    <row r="1301" spans="1:4" ht="14.25">
      <c r="A1301" s="96" t="s">
        <v>503</v>
      </c>
      <c r="B1301" s="568"/>
      <c r="C1301" s="363">
        <f>12+769</f>
        <v>781</v>
      </c>
      <c r="D1301" s="364"/>
    </row>
    <row r="1302" spans="1:4" ht="14.25">
      <c r="A1302" s="96" t="s">
        <v>548</v>
      </c>
      <c r="B1302" s="568"/>
      <c r="C1302" s="363"/>
      <c r="D1302" s="364"/>
    </row>
    <row r="1303" spans="1:4" ht="14.25">
      <c r="A1303" s="96" t="s">
        <v>549</v>
      </c>
      <c r="B1303" s="568"/>
      <c r="C1303" s="363"/>
      <c r="D1303" s="364"/>
    </row>
    <row r="1304" spans="1:4" ht="14.25">
      <c r="A1304" s="96" t="s">
        <v>170</v>
      </c>
      <c r="B1304" s="568"/>
      <c r="C1304" s="363">
        <f>C1305+C1306+C1307</f>
        <v>1700</v>
      </c>
      <c r="D1304" s="364">
        <f>SUM(D1305:D1307)</f>
        <v>2075</v>
      </c>
    </row>
    <row r="1305" spans="1:4" ht="14.25">
      <c r="A1305" s="96" t="s">
        <v>669</v>
      </c>
      <c r="B1305" s="568"/>
      <c r="C1305" s="363">
        <f>10+77+23+1499</f>
        <v>1609</v>
      </c>
      <c r="D1305" s="364">
        <f>695+8</f>
        <v>703</v>
      </c>
    </row>
    <row r="1306" spans="1:4" ht="14.25">
      <c r="A1306" s="96" t="s">
        <v>670</v>
      </c>
      <c r="B1306" s="568"/>
      <c r="C1306" s="363">
        <f>2+2+7</f>
        <v>11</v>
      </c>
      <c r="D1306" s="364">
        <v>434</v>
      </c>
    </row>
    <row r="1307" spans="1:4" ht="14.25">
      <c r="A1307" s="96" t="s">
        <v>750</v>
      </c>
      <c r="B1307" s="568"/>
      <c r="C1307" s="363">
        <f>51+29</f>
        <v>80</v>
      </c>
      <c r="D1307" s="364">
        <f>937+1</f>
        <v>938</v>
      </c>
    </row>
    <row r="1308" spans="1:4" ht="14.25">
      <c r="A1308" s="96" t="s">
        <v>550</v>
      </c>
      <c r="B1308" s="568"/>
      <c r="C1308" s="363">
        <v>1</v>
      </c>
      <c r="D1308" s="364"/>
    </row>
    <row r="1309" spans="1:4" ht="14.25">
      <c r="A1309" s="96" t="s">
        <v>348</v>
      </c>
      <c r="B1309" s="568"/>
      <c r="C1309" s="363"/>
      <c r="D1309" s="364"/>
    </row>
    <row r="1310" spans="1:4" ht="15.75" thickBot="1">
      <c r="A1310" s="255" t="s">
        <v>551</v>
      </c>
      <c r="B1310" s="569"/>
      <c r="C1310" s="425">
        <f>C1221+C1235+C1249+C1263+C1277+C1291+C1308</f>
        <v>14760</v>
      </c>
      <c r="D1310" s="465">
        <f>D1221+D1235+D1249+D1263+D1277+D1291+D1308</f>
        <v>31792</v>
      </c>
    </row>
    <row r="1311" spans="1:4" ht="14.25">
      <c r="A1311" s="359"/>
      <c r="B1311" s="482"/>
      <c r="C1311" s="483"/>
      <c r="D1311" s="482"/>
    </row>
    <row r="1312" spans="1:4" ht="14.25">
      <c r="A1312" s="359"/>
      <c r="B1312" s="357"/>
      <c r="C1312" s="358"/>
      <c r="D1312" s="358"/>
    </row>
    <row r="1313" spans="1:4" ht="15.75" thickBot="1">
      <c r="A1313" s="406" t="s">
        <v>384</v>
      </c>
      <c r="B1313" s="376"/>
      <c r="C1313" s="376"/>
      <c r="D1313" s="376"/>
    </row>
    <row r="1314" spans="1:4" s="448" customFormat="1" ht="15">
      <c r="A1314" s="442" t="s">
        <v>553</v>
      </c>
      <c r="B1314" s="567"/>
      <c r="C1314" s="443">
        <v>2002</v>
      </c>
      <c r="D1314" s="444">
        <v>2001</v>
      </c>
    </row>
    <row r="1315" spans="1:4" ht="14.25">
      <c r="A1315" s="96" t="s">
        <v>230</v>
      </c>
      <c r="B1315" s="568"/>
      <c r="C1315" s="393">
        <f>C1310-C1316</f>
        <v>14212</v>
      </c>
      <c r="D1315" s="364">
        <f>D1310-D1316</f>
        <v>26409</v>
      </c>
    </row>
    <row r="1316" spans="1:4" ht="14.25">
      <c r="A1316" s="96" t="s">
        <v>231</v>
      </c>
      <c r="B1316" s="568"/>
      <c r="C1316" s="393">
        <f>C1318+C1320</f>
        <v>548</v>
      </c>
      <c r="D1316" s="364">
        <f>D1318+D1320+D1322</f>
        <v>5383</v>
      </c>
    </row>
    <row r="1317" spans="1:4" ht="14.25">
      <c r="A1317" s="96" t="s">
        <v>126</v>
      </c>
      <c r="B1317" s="568"/>
      <c r="C1317" s="393">
        <f>124+2</f>
        <v>126</v>
      </c>
      <c r="D1317" s="364"/>
    </row>
    <row r="1318" spans="1:4" ht="14.25">
      <c r="A1318" s="96" t="s">
        <v>233</v>
      </c>
      <c r="B1318" s="568"/>
      <c r="C1318" s="393">
        <f>478+6</f>
        <v>484</v>
      </c>
      <c r="D1318" s="364">
        <v>661</v>
      </c>
    </row>
    <row r="1319" spans="1:4" ht="14.25">
      <c r="A1319" s="96" t="s">
        <v>142</v>
      </c>
      <c r="B1319" s="568"/>
      <c r="C1319" s="393">
        <f>12+4</f>
        <v>16</v>
      </c>
      <c r="D1319" s="364"/>
    </row>
    <row r="1320" spans="1:4" ht="14.25">
      <c r="A1320" s="96" t="s">
        <v>233</v>
      </c>
      <c r="B1320" s="568"/>
      <c r="C1320" s="393">
        <f>47+17</f>
        <v>64</v>
      </c>
      <c r="D1320" s="364"/>
    </row>
    <row r="1321" spans="1:4" ht="14.25">
      <c r="A1321" s="96" t="s">
        <v>527</v>
      </c>
      <c r="B1321" s="568"/>
      <c r="C1321" s="393"/>
      <c r="D1321" s="364"/>
    </row>
    <row r="1322" spans="1:4" ht="14.25">
      <c r="A1322" s="96" t="s">
        <v>528</v>
      </c>
      <c r="B1322" s="568"/>
      <c r="C1322" s="393"/>
      <c r="D1322" s="364">
        <v>4722</v>
      </c>
    </row>
    <row r="1323" spans="1:4" ht="15.75" thickBot="1">
      <c r="A1323" s="255" t="s">
        <v>551</v>
      </c>
      <c r="B1323" s="569"/>
      <c r="C1323" s="425">
        <f>C1315+C1316</f>
        <v>14760</v>
      </c>
      <c r="D1323" s="465">
        <f>D1315+D1316</f>
        <v>31792</v>
      </c>
    </row>
    <row r="1324" spans="1:8" ht="14.25">
      <c r="A1324" s="359"/>
      <c r="B1324" s="482"/>
      <c r="C1324" s="483"/>
      <c r="D1324" s="482"/>
      <c r="E1324" s="274"/>
      <c r="F1324" s="274"/>
      <c r="G1324" s="274"/>
      <c r="H1324" s="274"/>
    </row>
    <row r="1325" spans="1:4" ht="14.25">
      <c r="A1325" s="359"/>
      <c r="B1325" s="357"/>
      <c r="C1325" s="358"/>
      <c r="D1325" s="358"/>
    </row>
    <row r="1326" spans="1:4" ht="15.75" thickBot="1">
      <c r="A1326" s="213" t="s">
        <v>1036</v>
      </c>
      <c r="B1326" s="376"/>
      <c r="C1326" s="376"/>
      <c r="D1326" s="376"/>
    </row>
    <row r="1327" spans="1:4" s="448" customFormat="1" ht="15">
      <c r="A1327" s="442" t="s">
        <v>555</v>
      </c>
      <c r="B1327" s="567"/>
      <c r="C1327" s="443">
        <v>2002</v>
      </c>
      <c r="D1327" s="444">
        <v>2001</v>
      </c>
    </row>
    <row r="1328" spans="1:4" ht="14.25">
      <c r="A1328" s="96" t="s">
        <v>227</v>
      </c>
      <c r="B1328" s="568"/>
      <c r="C1328" s="363"/>
      <c r="D1328" s="364"/>
    </row>
    <row r="1329" spans="1:4" ht="14.25">
      <c r="A1329" s="96" t="s">
        <v>949</v>
      </c>
      <c r="B1329" s="568"/>
      <c r="C1329" s="363"/>
      <c r="D1329" s="364"/>
    </row>
    <row r="1330" spans="1:8" s="274" customFormat="1" ht="14.25">
      <c r="A1330" s="96" t="s">
        <v>348</v>
      </c>
      <c r="B1330" s="568"/>
      <c r="C1330" s="363"/>
      <c r="D1330" s="364"/>
      <c r="E1330"/>
      <c r="F1330"/>
      <c r="G1330"/>
      <c r="H1330"/>
    </row>
    <row r="1331" spans="1:4" ht="14.25">
      <c r="A1331" s="96" t="s">
        <v>950</v>
      </c>
      <c r="B1331" s="568"/>
      <c r="C1331" s="363"/>
      <c r="D1331" s="364"/>
    </row>
    <row r="1332" spans="1:4" ht="14.25">
      <c r="A1332" s="96" t="s">
        <v>348</v>
      </c>
      <c r="B1332" s="568"/>
      <c r="C1332" s="363"/>
      <c r="D1332" s="364"/>
    </row>
    <row r="1333" spans="1:4" ht="15.75" thickBot="1">
      <c r="A1333" s="255" t="s">
        <v>556</v>
      </c>
      <c r="B1333" s="569"/>
      <c r="C1333" s="398">
        <f>C1328+C1329-C1331</f>
        <v>0</v>
      </c>
      <c r="D1333" s="399">
        <f>D1328+D1329-D1331</f>
        <v>0</v>
      </c>
    </row>
    <row r="1334" spans="1:4" ht="14.25">
      <c r="A1334" s="359"/>
      <c r="B1334" s="357"/>
      <c r="C1334" s="358"/>
      <c r="D1334" s="358"/>
    </row>
    <row r="1335" spans="1:8" ht="14.25">
      <c r="A1335" s="359"/>
      <c r="B1335" s="357"/>
      <c r="C1335" s="358"/>
      <c r="D1335" s="358"/>
      <c r="E1335" s="274"/>
      <c r="F1335" s="274"/>
      <c r="G1335" s="274"/>
      <c r="H1335" s="274"/>
    </row>
    <row r="1336" spans="1:4" ht="15.75" thickBot="1">
      <c r="A1336" s="213" t="s">
        <v>1010</v>
      </c>
      <c r="B1336" s="407"/>
      <c r="C1336" s="407"/>
      <c r="D1336" s="407"/>
    </row>
    <row r="1337" spans="1:4" s="448" customFormat="1" ht="15">
      <c r="A1337" s="442" t="s">
        <v>1259</v>
      </c>
      <c r="B1337" s="567"/>
      <c r="C1337" s="443">
        <v>2002</v>
      </c>
      <c r="D1337" s="444">
        <v>2001</v>
      </c>
    </row>
    <row r="1338" spans="1:4" ht="14.25">
      <c r="A1338" s="96" t="s">
        <v>562</v>
      </c>
      <c r="B1338" s="568"/>
      <c r="C1338" s="363">
        <f>C1339+C1341</f>
        <v>0</v>
      </c>
      <c r="D1338" s="364">
        <f>D1339+D1341</f>
        <v>50</v>
      </c>
    </row>
    <row r="1339" spans="1:4" ht="14.25">
      <c r="A1339" s="96" t="s">
        <v>564</v>
      </c>
      <c r="B1339" s="568"/>
      <c r="C1339" s="363"/>
      <c r="D1339" s="364"/>
    </row>
    <row r="1340" spans="1:4" ht="14.25">
      <c r="A1340" s="96" t="s">
        <v>743</v>
      </c>
      <c r="B1340" s="568"/>
      <c r="C1340" s="363"/>
      <c r="D1340" s="364"/>
    </row>
    <row r="1341" spans="1:8" s="274" customFormat="1" ht="14.25">
      <c r="A1341" s="96" t="s">
        <v>565</v>
      </c>
      <c r="B1341" s="568"/>
      <c r="C1341" s="363">
        <f>SUM(C1342:C1342)</f>
        <v>0</v>
      </c>
      <c r="D1341" s="364">
        <f>SUM(D1342:D1342)</f>
        <v>50</v>
      </c>
      <c r="E1341"/>
      <c r="F1341"/>
      <c r="G1341"/>
      <c r="H1341"/>
    </row>
    <row r="1342" spans="1:4" ht="14.25">
      <c r="A1342" s="96" t="s">
        <v>1111</v>
      </c>
      <c r="B1342" s="568"/>
      <c r="C1342" s="363"/>
      <c r="D1342" s="364">
        <v>50</v>
      </c>
    </row>
    <row r="1343" spans="1:4" ht="14.25">
      <c r="A1343" s="96" t="s">
        <v>563</v>
      </c>
      <c r="B1343" s="568"/>
      <c r="C1343" s="363">
        <f>C1344+C1345</f>
        <v>88</v>
      </c>
      <c r="D1343" s="364">
        <f>D1344+D1345</f>
        <v>281</v>
      </c>
    </row>
    <row r="1344" spans="1:4" ht="14.25">
      <c r="A1344" s="96" t="s">
        <v>564</v>
      </c>
      <c r="B1344" s="568"/>
      <c r="C1344" s="363"/>
      <c r="D1344" s="364">
        <v>81</v>
      </c>
    </row>
    <row r="1345" spans="1:4" ht="14.25">
      <c r="A1345" s="96" t="s">
        <v>565</v>
      </c>
      <c r="B1345" s="568"/>
      <c r="C1345" s="363">
        <f>3+85</f>
        <v>88</v>
      </c>
      <c r="D1345" s="364">
        <v>200</v>
      </c>
    </row>
    <row r="1346" spans="1:4" ht="15.75" thickBot="1">
      <c r="A1346" s="255" t="s">
        <v>1262</v>
      </c>
      <c r="B1346" s="569"/>
      <c r="C1346" s="425">
        <f>C1343+C1338</f>
        <v>88</v>
      </c>
      <c r="D1346" s="465">
        <f>D1343+D1338</f>
        <v>331</v>
      </c>
    </row>
    <row r="1347" spans="1:4" ht="14.25">
      <c r="A1347" s="359"/>
      <c r="B1347" s="357"/>
      <c r="C1347" s="483"/>
      <c r="D1347" s="483"/>
    </row>
    <row r="1348" spans="1:4" ht="14.25">
      <c r="A1348" s="359"/>
      <c r="B1348" s="357"/>
      <c r="C1348" s="358"/>
      <c r="D1348" s="358"/>
    </row>
    <row r="1349" spans="1:8" s="274" customFormat="1" ht="15">
      <c r="A1349" s="213" t="s">
        <v>692</v>
      </c>
      <c r="B1349" s="376"/>
      <c r="C1349" s="376"/>
      <c r="D1349" s="376"/>
      <c r="E1349"/>
      <c r="F1349"/>
      <c r="G1349"/>
      <c r="H1349"/>
    </row>
    <row r="1350" spans="1:4" ht="15">
      <c r="A1350" s="213" t="s">
        <v>218</v>
      </c>
      <c r="B1350" s="376"/>
      <c r="C1350" s="376"/>
      <c r="D1350" s="376"/>
    </row>
    <row r="1351" spans="1:4" ht="14.25">
      <c r="A1351" s="359"/>
      <c r="B1351" s="376"/>
      <c r="C1351" s="376"/>
      <c r="D1351" s="376"/>
    </row>
    <row r="1352" spans="1:4" ht="42.75">
      <c r="A1352" s="427" t="s">
        <v>566</v>
      </c>
      <c r="B1352" s="376"/>
      <c r="C1352" s="376"/>
      <c r="D1352" s="376"/>
    </row>
    <row r="1353" spans="1:4" ht="14.25">
      <c r="A1353" s="359"/>
      <c r="B1353" s="376"/>
      <c r="C1353" s="376"/>
      <c r="D1353" s="376"/>
    </row>
    <row r="1354" spans="1:4" ht="14.25">
      <c r="A1354" s="359"/>
      <c r="B1354" s="357"/>
      <c r="C1354" s="358"/>
      <c r="D1354" s="358"/>
    </row>
    <row r="1355" spans="1:4" ht="15.75" thickBot="1">
      <c r="A1355" s="213" t="s">
        <v>693</v>
      </c>
      <c r="B1355" s="376"/>
      <c r="C1355" s="376"/>
      <c r="D1355" s="376"/>
    </row>
    <row r="1356" spans="1:4" s="448" customFormat="1" ht="30">
      <c r="A1356" s="442" t="s">
        <v>373</v>
      </c>
      <c r="B1356" s="567"/>
      <c r="C1356" s="443">
        <v>2002</v>
      </c>
      <c r="D1356" s="444">
        <v>2001</v>
      </c>
    </row>
    <row r="1357" spans="1:4" ht="14.25">
      <c r="A1357" s="96" t="s">
        <v>374</v>
      </c>
      <c r="B1357" s="568"/>
      <c r="C1357" s="363">
        <f>SUM(C1358:C1362)</f>
        <v>0</v>
      </c>
      <c r="D1357" s="364">
        <f>SUM(D1358:D1362)</f>
        <v>0</v>
      </c>
    </row>
    <row r="1358" spans="1:4" ht="14.25">
      <c r="A1358" s="96" t="s">
        <v>1097</v>
      </c>
      <c r="B1358" s="568"/>
      <c r="C1358" s="363"/>
      <c r="D1358" s="364"/>
    </row>
    <row r="1359" spans="1:4" ht="14.25">
      <c r="A1359" s="96" t="s">
        <v>1098</v>
      </c>
      <c r="B1359" s="568"/>
      <c r="C1359" s="363"/>
      <c r="D1359" s="364"/>
    </row>
    <row r="1360" spans="1:4" ht="14.25">
      <c r="A1360" s="96" t="s">
        <v>1099</v>
      </c>
      <c r="B1360" s="568"/>
      <c r="C1360" s="363"/>
      <c r="D1360" s="364"/>
    </row>
    <row r="1361" spans="1:4" ht="14.25">
      <c r="A1361" s="96" t="s">
        <v>1100</v>
      </c>
      <c r="B1361" s="568"/>
      <c r="C1361" s="363"/>
      <c r="D1361" s="364"/>
    </row>
    <row r="1362" spans="1:4" ht="14.25">
      <c r="A1362" s="96" t="s">
        <v>1101</v>
      </c>
      <c r="B1362" s="568"/>
      <c r="C1362" s="363"/>
      <c r="D1362" s="364"/>
    </row>
    <row r="1363" spans="1:4" ht="14.25">
      <c r="A1363" s="96" t="s">
        <v>375</v>
      </c>
      <c r="B1363" s="568"/>
      <c r="C1363" s="363">
        <f>C1364+C1370</f>
        <v>0</v>
      </c>
      <c r="D1363" s="364">
        <f>D1364+D1370</f>
        <v>0</v>
      </c>
    </row>
    <row r="1364" spans="1:8" ht="14.25">
      <c r="A1364" s="96" t="s">
        <v>1056</v>
      </c>
      <c r="B1364" s="568"/>
      <c r="C1364" s="363">
        <f>SUM(C1365:C1369)</f>
        <v>0</v>
      </c>
      <c r="D1364" s="364">
        <f>SUM(D1365:D1369)</f>
        <v>0</v>
      </c>
      <c r="E1364" s="274"/>
      <c r="F1364" s="274"/>
      <c r="G1364" s="274"/>
      <c r="H1364" s="274"/>
    </row>
    <row r="1365" spans="1:4" ht="14.25">
      <c r="A1365" s="96" t="s">
        <v>376</v>
      </c>
      <c r="B1365" s="568"/>
      <c r="C1365" s="363"/>
      <c r="D1365" s="364"/>
    </row>
    <row r="1366" spans="1:4" ht="14.25">
      <c r="A1366" s="96" t="s">
        <v>377</v>
      </c>
      <c r="B1366" s="568"/>
      <c r="C1366" s="363"/>
      <c r="D1366" s="364"/>
    </row>
    <row r="1367" spans="1:4" ht="14.25">
      <c r="A1367" s="96" t="s">
        <v>378</v>
      </c>
      <c r="B1367" s="568"/>
      <c r="C1367" s="363"/>
      <c r="D1367" s="364"/>
    </row>
    <row r="1368" spans="1:4" ht="14.25">
      <c r="A1368" s="96" t="s">
        <v>379</v>
      </c>
      <c r="B1368" s="568"/>
      <c r="C1368" s="363"/>
      <c r="D1368" s="364"/>
    </row>
    <row r="1369" spans="1:4" ht="14.25">
      <c r="A1369" s="96" t="s">
        <v>380</v>
      </c>
      <c r="B1369" s="568"/>
      <c r="C1369" s="363"/>
      <c r="D1369" s="364"/>
    </row>
    <row r="1370" spans="1:8" s="274" customFormat="1" ht="14.25">
      <c r="A1370" s="96" t="s">
        <v>954</v>
      </c>
      <c r="B1370" s="568"/>
      <c r="C1370" s="363">
        <f>SUM(C1371:C1375)</f>
        <v>0</v>
      </c>
      <c r="D1370" s="364">
        <f>SUM(D1371:D1375)</f>
        <v>0</v>
      </c>
      <c r="E1370"/>
      <c r="F1370"/>
      <c r="G1370"/>
      <c r="H1370"/>
    </row>
    <row r="1371" spans="1:4" ht="14.25">
      <c r="A1371" s="96" t="s">
        <v>376</v>
      </c>
      <c r="B1371" s="568"/>
      <c r="C1371" s="363"/>
      <c r="D1371" s="364"/>
    </row>
    <row r="1372" spans="1:4" ht="14.25">
      <c r="A1372" s="96" t="s">
        <v>377</v>
      </c>
      <c r="B1372" s="568"/>
      <c r="C1372" s="363"/>
      <c r="D1372" s="364"/>
    </row>
    <row r="1373" spans="1:4" ht="14.25">
      <c r="A1373" s="96" t="s">
        <v>378</v>
      </c>
      <c r="B1373" s="568"/>
      <c r="C1373" s="363"/>
      <c r="D1373" s="364"/>
    </row>
    <row r="1374" spans="1:4" ht="14.25">
      <c r="A1374" s="96" t="s">
        <v>379</v>
      </c>
      <c r="B1374" s="568"/>
      <c r="C1374" s="363"/>
      <c r="D1374" s="364"/>
    </row>
    <row r="1375" spans="1:4" ht="14.25">
      <c r="A1375" s="96" t="s">
        <v>380</v>
      </c>
      <c r="B1375" s="568"/>
      <c r="C1375" s="363"/>
      <c r="D1375" s="364"/>
    </row>
    <row r="1376" spans="1:4" ht="14.25">
      <c r="A1376" s="96" t="s">
        <v>954</v>
      </c>
      <c r="B1376" s="568"/>
      <c r="C1376" s="363"/>
      <c r="D1376" s="364"/>
    </row>
    <row r="1377" spans="1:4" ht="15.75" thickBot="1">
      <c r="A1377" s="255" t="s">
        <v>383</v>
      </c>
      <c r="B1377" s="569"/>
      <c r="C1377" s="398">
        <f>C1357+C1363</f>
        <v>0</v>
      </c>
      <c r="D1377" s="399">
        <f>D1357+D1363</f>
        <v>0</v>
      </c>
    </row>
    <row r="1378" spans="1:4" ht="14.25">
      <c r="A1378" s="359"/>
      <c r="B1378" s="357"/>
      <c r="C1378" s="358"/>
      <c r="D1378" s="358"/>
    </row>
    <row r="1379" spans="1:4" ht="14.25">
      <c r="A1379" s="359"/>
      <c r="B1379" s="357"/>
      <c r="C1379" s="358"/>
      <c r="D1379" s="358"/>
    </row>
    <row r="1380" spans="1:4" ht="15.75" thickBot="1">
      <c r="A1380" s="213" t="s">
        <v>694</v>
      </c>
      <c r="B1380" s="376"/>
      <c r="C1380" s="376"/>
      <c r="D1380" s="376"/>
    </row>
    <row r="1381" spans="1:4" s="448" customFormat="1" ht="21.75" customHeight="1">
      <c r="A1381" s="738" t="s">
        <v>143</v>
      </c>
      <c r="B1381" s="739"/>
      <c r="C1381" s="443">
        <v>2002</v>
      </c>
      <c r="D1381" s="444">
        <v>2001</v>
      </c>
    </row>
    <row r="1382" spans="1:4" ht="14.25">
      <c r="A1382" s="96" t="s">
        <v>385</v>
      </c>
      <c r="B1382" s="588"/>
      <c r="C1382" s="419">
        <f>C1383</f>
        <v>0</v>
      </c>
      <c r="D1382" s="419">
        <f>D1383</f>
        <v>0</v>
      </c>
    </row>
    <row r="1383" spans="1:4" ht="14.25">
      <c r="A1383" s="96" t="s">
        <v>1031</v>
      </c>
      <c r="B1383" s="588"/>
      <c r="C1383" s="393"/>
      <c r="D1383" s="419"/>
    </row>
    <row r="1384" spans="1:4" ht="14.25">
      <c r="A1384" s="96" t="s">
        <v>1032</v>
      </c>
      <c r="B1384" s="588"/>
      <c r="C1384" s="393"/>
      <c r="D1384" s="419"/>
    </row>
    <row r="1385" spans="1:4" ht="14.25">
      <c r="A1385" s="96" t="s">
        <v>1033</v>
      </c>
      <c r="B1385" s="588"/>
      <c r="C1385" s="393"/>
      <c r="D1385" s="419"/>
    </row>
    <row r="1386" spans="1:4" ht="14.25">
      <c r="A1386" s="96" t="s">
        <v>1034</v>
      </c>
      <c r="B1386" s="588"/>
      <c r="C1386" s="393"/>
      <c r="D1386" s="419"/>
    </row>
    <row r="1387" spans="1:4" ht="14.25">
      <c r="A1387" s="96" t="s">
        <v>1035</v>
      </c>
      <c r="B1387" s="588"/>
      <c r="C1387" s="393"/>
      <c r="D1387" s="419"/>
    </row>
    <row r="1388" spans="1:4" ht="14.25">
      <c r="A1388" s="96" t="s">
        <v>375</v>
      </c>
      <c r="B1388" s="588"/>
      <c r="C1388" s="393">
        <f>C1389+C1395</f>
        <v>0</v>
      </c>
      <c r="D1388" s="419">
        <f>D1389+D1395</f>
        <v>2000</v>
      </c>
    </row>
    <row r="1389" spans="1:8" ht="14.25">
      <c r="A1389" s="96" t="s">
        <v>954</v>
      </c>
      <c r="B1389" s="588"/>
      <c r="C1389" s="393">
        <f>SUM(C1390:C1394)</f>
        <v>0</v>
      </c>
      <c r="D1389" s="419">
        <f>SUM(D1390:D1394)</f>
        <v>2000</v>
      </c>
      <c r="E1389" s="274"/>
      <c r="F1389" s="274"/>
      <c r="G1389" s="274"/>
      <c r="H1389" s="274"/>
    </row>
    <row r="1390" spans="1:4" ht="14.25">
      <c r="A1390" s="96" t="s">
        <v>386</v>
      </c>
      <c r="B1390" s="588"/>
      <c r="C1390" s="393"/>
      <c r="D1390" s="419">
        <v>2000</v>
      </c>
    </row>
    <row r="1391" spans="1:4" ht="14.25">
      <c r="A1391" s="96" t="s">
        <v>387</v>
      </c>
      <c r="B1391" s="588"/>
      <c r="C1391" s="393"/>
      <c r="D1391" s="419"/>
    </row>
    <row r="1392" spans="1:4" ht="14.25">
      <c r="A1392" s="96" t="s">
        <v>388</v>
      </c>
      <c r="B1392" s="588"/>
      <c r="C1392" s="393"/>
      <c r="D1392" s="419"/>
    </row>
    <row r="1393" spans="1:4" ht="14.25">
      <c r="A1393" s="96" t="s">
        <v>389</v>
      </c>
      <c r="B1393" s="588"/>
      <c r="C1393" s="393"/>
      <c r="D1393" s="419"/>
    </row>
    <row r="1394" spans="1:4" ht="14.25">
      <c r="A1394" s="96" t="s">
        <v>390</v>
      </c>
      <c r="B1394" s="588"/>
      <c r="C1394" s="393"/>
      <c r="D1394" s="419"/>
    </row>
    <row r="1395" spans="1:8" s="274" customFormat="1" ht="14.25">
      <c r="A1395" s="96" t="s">
        <v>954</v>
      </c>
      <c r="B1395" s="588"/>
      <c r="C1395" s="393">
        <f>SUM(C1396:C1400)</f>
        <v>0</v>
      </c>
      <c r="D1395" s="419">
        <f>SUM(D1396:D1400)</f>
        <v>0</v>
      </c>
      <c r="E1395"/>
      <c r="F1395"/>
      <c r="G1395"/>
      <c r="H1395"/>
    </row>
    <row r="1396" spans="1:4" ht="14.25">
      <c r="A1396" s="96" t="s">
        <v>386</v>
      </c>
      <c r="B1396" s="588"/>
      <c r="C1396" s="393"/>
      <c r="D1396" s="419"/>
    </row>
    <row r="1397" spans="1:4" ht="14.25">
      <c r="A1397" s="96" t="s">
        <v>387</v>
      </c>
      <c r="B1397" s="588"/>
      <c r="C1397" s="393"/>
      <c r="D1397" s="419"/>
    </row>
    <row r="1398" spans="1:4" ht="14.25">
      <c r="A1398" s="96" t="s">
        <v>388</v>
      </c>
      <c r="B1398" s="588"/>
      <c r="C1398" s="393"/>
      <c r="D1398" s="419"/>
    </row>
    <row r="1399" spans="1:4" ht="14.25">
      <c r="A1399" s="96" t="s">
        <v>389</v>
      </c>
      <c r="B1399" s="588"/>
      <c r="C1399" s="393"/>
      <c r="D1399" s="419"/>
    </row>
    <row r="1400" spans="1:4" ht="14.25">
      <c r="A1400" s="96" t="s">
        <v>390</v>
      </c>
      <c r="B1400" s="588"/>
      <c r="C1400" s="393"/>
      <c r="D1400" s="419"/>
    </row>
    <row r="1401" spans="1:4" ht="15.75" thickBot="1">
      <c r="A1401" s="255" t="s">
        <v>1030</v>
      </c>
      <c r="B1401" s="592"/>
      <c r="C1401" s="425">
        <f>C1382+C1388</f>
        <v>0</v>
      </c>
      <c r="D1401" s="465">
        <f>D1382+D1388</f>
        <v>2000</v>
      </c>
    </row>
    <row r="1402" spans="1:4" ht="14.25">
      <c r="A1402" s="359"/>
      <c r="B1402" s="357"/>
      <c r="C1402" s="483"/>
      <c r="D1402" s="483"/>
    </row>
    <row r="1403" spans="1:4" ht="15">
      <c r="A1403" s="262" t="s">
        <v>335</v>
      </c>
      <c r="B1403" s="385"/>
      <c r="C1403" s="386"/>
      <c r="D1403" s="358"/>
    </row>
    <row r="1404" spans="1:4" ht="14.25">
      <c r="A1404" s="384"/>
      <c r="B1404" s="385"/>
      <c r="C1404" s="386"/>
      <c r="D1404" s="358"/>
    </row>
    <row r="1405" spans="1:4" ht="15.75" thickBot="1">
      <c r="A1405" s="213" t="s">
        <v>695</v>
      </c>
      <c r="B1405" s="385"/>
      <c r="C1405" s="386"/>
      <c r="D1405" s="358"/>
    </row>
    <row r="1406" spans="1:4" s="448" customFormat="1" ht="30">
      <c r="A1406" s="442" t="s">
        <v>1006</v>
      </c>
      <c r="B1406" s="460"/>
      <c r="C1406" s="443">
        <v>2002</v>
      </c>
      <c r="D1406" s="444">
        <v>2001</v>
      </c>
    </row>
    <row r="1407" spans="1:4" ht="14.25">
      <c r="A1407" s="216" t="s">
        <v>144</v>
      </c>
      <c r="B1407" s="428"/>
      <c r="C1407" s="363">
        <f>25+3125+392</f>
        <v>3542</v>
      </c>
      <c r="D1407" s="364">
        <f>56-56</f>
        <v>0</v>
      </c>
    </row>
    <row r="1408" spans="1:4" ht="14.25">
      <c r="A1408" s="216" t="s">
        <v>1089</v>
      </c>
      <c r="B1408" s="428"/>
      <c r="C1408" s="363">
        <f>25+4</f>
        <v>29</v>
      </c>
      <c r="D1408" s="364">
        <f>56-56</f>
        <v>0</v>
      </c>
    </row>
    <row r="1409" spans="1:4" ht="14.25">
      <c r="A1409" s="216" t="s">
        <v>1194</v>
      </c>
      <c r="B1409" s="428"/>
      <c r="C1409" s="363">
        <f>398-311</f>
        <v>87</v>
      </c>
      <c r="D1409" s="364"/>
    </row>
    <row r="1410" spans="1:4" ht="14.25">
      <c r="A1410" s="216" t="s">
        <v>1089</v>
      </c>
      <c r="B1410" s="428"/>
      <c r="C1410" s="363">
        <f>339-311</f>
        <v>28</v>
      </c>
      <c r="D1410" s="364"/>
    </row>
    <row r="1411" spans="1:4" ht="14.25">
      <c r="A1411" s="216" t="s">
        <v>1112</v>
      </c>
      <c r="B1411" s="428"/>
      <c r="C1411" s="363">
        <v>5828</v>
      </c>
      <c r="D1411" s="364">
        <v>3153</v>
      </c>
    </row>
    <row r="1412" spans="1:4" ht="14.25">
      <c r="A1412" s="216" t="s">
        <v>1089</v>
      </c>
      <c r="B1412" s="428"/>
      <c r="C1412" s="363"/>
      <c r="D1412" s="364"/>
    </row>
    <row r="1413" spans="1:4" ht="14.25">
      <c r="A1413" s="216" t="s">
        <v>1113</v>
      </c>
      <c r="B1413" s="428"/>
      <c r="C1413" s="363">
        <v>2824</v>
      </c>
      <c r="D1413" s="364">
        <v>3047</v>
      </c>
    </row>
    <row r="1414" spans="1:4" ht="14.25">
      <c r="A1414" s="216" t="s">
        <v>1089</v>
      </c>
      <c r="B1414" s="428"/>
      <c r="C1414" s="363"/>
      <c r="D1414" s="364"/>
    </row>
    <row r="1415" spans="1:4" ht="14.25">
      <c r="A1415" s="216" t="s">
        <v>1114</v>
      </c>
      <c r="B1415" s="428"/>
      <c r="C1415" s="363">
        <v>0</v>
      </c>
      <c r="D1415" s="364">
        <v>11438</v>
      </c>
    </row>
    <row r="1416" spans="1:4" ht="14.25">
      <c r="A1416" s="216" t="s">
        <v>1089</v>
      </c>
      <c r="B1416" s="428"/>
      <c r="C1416" s="363"/>
      <c r="D1416" s="364"/>
    </row>
    <row r="1417" spans="1:4" ht="15">
      <c r="A1417" s="258" t="s">
        <v>1008</v>
      </c>
      <c r="B1417" s="428"/>
      <c r="C1417" s="474">
        <f>C1407+C1409+C1411+C1413</f>
        <v>12281</v>
      </c>
      <c r="D1417" s="362">
        <f>D1407+D1409+D1411+D1413+D1415</f>
        <v>17638</v>
      </c>
    </row>
    <row r="1418" spans="1:4" ht="15" thickBot="1">
      <c r="A1418" s="259" t="s">
        <v>1009</v>
      </c>
      <c r="B1418" s="429"/>
      <c r="C1418" s="395">
        <f>C1408+C1410</f>
        <v>57</v>
      </c>
      <c r="D1418" s="396">
        <f>D1408</f>
        <v>0</v>
      </c>
    </row>
    <row r="1419" spans="1:8" ht="14.25">
      <c r="A1419" s="359"/>
      <c r="B1419" s="385"/>
      <c r="C1419" s="618"/>
      <c r="D1419" s="618"/>
      <c r="E1419" s="274"/>
      <c r="F1419" s="274"/>
      <c r="G1419" s="274"/>
      <c r="H1419" s="274"/>
    </row>
    <row r="1420" spans="1:4" ht="15.75" thickBot="1">
      <c r="A1420" s="213" t="s">
        <v>696</v>
      </c>
      <c r="B1420" s="357"/>
      <c r="C1420" s="376"/>
      <c r="D1420" s="376"/>
    </row>
    <row r="1421" spans="1:4" s="448" customFormat="1" ht="30">
      <c r="A1421" s="442" t="s">
        <v>1011</v>
      </c>
      <c r="B1421" s="460"/>
      <c r="C1421" s="443">
        <v>2002</v>
      </c>
      <c r="D1421" s="444">
        <v>2001</v>
      </c>
    </row>
    <row r="1422" spans="1:4" ht="14.25">
      <c r="A1422" s="216" t="s">
        <v>1012</v>
      </c>
      <c r="B1422" s="428"/>
      <c r="C1422" s="477">
        <f>C1423</f>
        <v>9794</v>
      </c>
      <c r="D1422" s="381">
        <f>D1417</f>
        <v>17638</v>
      </c>
    </row>
    <row r="1423" spans="1:4" ht="14.25">
      <c r="A1423" s="216" t="s">
        <v>146</v>
      </c>
      <c r="B1423" s="428"/>
      <c r="C1423" s="477">
        <f>C1407+C1409-C1428+C1411+C1413+C1415</f>
        <v>9794</v>
      </c>
      <c r="D1423" s="381">
        <f>D1407</f>
        <v>0</v>
      </c>
    </row>
    <row r="1424" spans="1:4" ht="14.25">
      <c r="A1424" s="216" t="s">
        <v>1013</v>
      </c>
      <c r="B1424" s="428"/>
      <c r="C1424" s="477">
        <f>C1408+C1410</f>
        <v>57</v>
      </c>
      <c r="D1424" s="381">
        <f>D1408</f>
        <v>0</v>
      </c>
    </row>
    <row r="1425" spans="1:8" s="274" customFormat="1" ht="14.25">
      <c r="A1425" s="216" t="s">
        <v>145</v>
      </c>
      <c r="B1425" s="428"/>
      <c r="C1425" s="477"/>
      <c r="D1425" s="381"/>
      <c r="E1425"/>
      <c r="F1425"/>
      <c r="G1425"/>
      <c r="H1425"/>
    </row>
    <row r="1426" spans="1:4" ht="14.25">
      <c r="A1426" s="216" t="s">
        <v>1013</v>
      </c>
      <c r="B1426" s="428"/>
      <c r="C1426" s="477"/>
      <c r="D1426" s="381"/>
    </row>
    <row r="1427" spans="1:8" ht="14.25">
      <c r="A1427" s="216" t="s">
        <v>1014</v>
      </c>
      <c r="B1427" s="428"/>
      <c r="C1427" s="477">
        <f>2400+87</f>
        <v>2487</v>
      </c>
      <c r="D1427" s="381">
        <f>D1428+D1430</f>
        <v>0</v>
      </c>
      <c r="E1427" s="274"/>
      <c r="F1427" s="274"/>
      <c r="G1427" s="274"/>
      <c r="H1427" s="274"/>
    </row>
    <row r="1428" spans="1:4" ht="14.25">
      <c r="A1428" s="216" t="s">
        <v>146</v>
      </c>
      <c r="B1428" s="428"/>
      <c r="C1428" s="477">
        <f>C1427</f>
        <v>2487</v>
      </c>
      <c r="D1428" s="381"/>
    </row>
    <row r="1429" spans="1:4" ht="14.25">
      <c r="A1429" s="216" t="s">
        <v>1013</v>
      </c>
      <c r="B1429" s="428"/>
      <c r="C1429" s="477"/>
      <c r="D1429" s="381"/>
    </row>
    <row r="1430" spans="1:4" ht="14.25">
      <c r="A1430" s="216" t="s">
        <v>145</v>
      </c>
      <c r="B1430" s="428"/>
      <c r="C1430" s="477"/>
      <c r="D1430" s="381"/>
    </row>
    <row r="1431" spans="1:4" ht="14.25">
      <c r="A1431" s="216" t="s">
        <v>1013</v>
      </c>
      <c r="B1431" s="428"/>
      <c r="C1431" s="477"/>
      <c r="D1431" s="381"/>
    </row>
    <row r="1432" spans="1:4" ht="15">
      <c r="A1432" s="258" t="s">
        <v>1008</v>
      </c>
      <c r="B1432" s="428"/>
      <c r="C1432" s="415">
        <f>C1427+C1422</f>
        <v>12281</v>
      </c>
      <c r="D1432" s="380">
        <f>D1427+D1422</f>
        <v>17638</v>
      </c>
    </row>
    <row r="1433" spans="1:8" s="274" customFormat="1" ht="15" thickBot="1">
      <c r="A1433" s="259" t="s">
        <v>1009</v>
      </c>
      <c r="B1433" s="429"/>
      <c r="C1433" s="637">
        <f>C1424+C1426+C1429+C1431</f>
        <v>57</v>
      </c>
      <c r="D1433" s="430">
        <f>D1424+D1426+D1429+D1431</f>
        <v>0</v>
      </c>
      <c r="E1433"/>
      <c r="F1433"/>
      <c r="G1433"/>
      <c r="H1433"/>
    </row>
    <row r="1434" spans="1:4" ht="14.25">
      <c r="A1434" s="260"/>
      <c r="B1434" s="385"/>
      <c r="C1434" s="618"/>
      <c r="D1434" s="618"/>
    </row>
    <row r="1435" spans="1:4" ht="14.25">
      <c r="A1435" s="359"/>
      <c r="B1435" s="357"/>
      <c r="C1435" s="376"/>
      <c r="D1435" s="376"/>
    </row>
    <row r="1436" spans="1:4" ht="15.75" thickBot="1">
      <c r="A1436" s="213" t="s">
        <v>697</v>
      </c>
      <c r="B1436" s="357"/>
      <c r="C1436" s="376"/>
      <c r="D1436" s="376"/>
    </row>
    <row r="1437" spans="1:4" s="448" customFormat="1" ht="30">
      <c r="A1437" s="442" t="s">
        <v>1015</v>
      </c>
      <c r="B1437" s="460"/>
      <c r="C1437" s="443">
        <v>2002</v>
      </c>
      <c r="D1437" s="444">
        <v>2001</v>
      </c>
    </row>
    <row r="1438" spans="1:4" ht="14.25">
      <c r="A1438" s="216" t="s">
        <v>147</v>
      </c>
      <c r="B1438" s="428"/>
      <c r="C1438" s="363">
        <f>15+6233+18719</f>
        <v>24967</v>
      </c>
      <c r="D1438" s="364">
        <v>41530</v>
      </c>
    </row>
    <row r="1439" spans="1:4" ht="14.25">
      <c r="A1439" s="216" t="s">
        <v>1007</v>
      </c>
      <c r="B1439" s="428"/>
      <c r="C1439" s="363"/>
      <c r="D1439" s="364"/>
    </row>
    <row r="1440" spans="1:4" ht="14.25">
      <c r="A1440" s="216" t="s">
        <v>148</v>
      </c>
      <c r="B1440" s="428"/>
      <c r="C1440" s="363"/>
      <c r="D1440" s="364"/>
    </row>
    <row r="1441" spans="1:4" ht="14.25">
      <c r="A1441" s="216" t="s">
        <v>1007</v>
      </c>
      <c r="B1441" s="428"/>
      <c r="C1441" s="363"/>
      <c r="D1441" s="364"/>
    </row>
    <row r="1442" spans="1:4" ht="15">
      <c r="A1442" s="258" t="s">
        <v>1016</v>
      </c>
      <c r="B1442" s="428"/>
      <c r="C1442" s="361">
        <f>C1438+C1440</f>
        <v>24967</v>
      </c>
      <c r="D1442" s="362">
        <f>D1438+D1440</f>
        <v>41530</v>
      </c>
    </row>
    <row r="1443" spans="1:4" ht="15" thickBot="1">
      <c r="A1443" s="259" t="s">
        <v>1009</v>
      </c>
      <c r="B1443" s="429"/>
      <c r="C1443" s="395">
        <f>C1439+C1441</f>
        <v>0</v>
      </c>
      <c r="D1443" s="396">
        <f>D1439+D1441</f>
        <v>0</v>
      </c>
    </row>
    <row r="1444" spans="1:8" ht="14.25">
      <c r="A1444" s="359"/>
      <c r="B1444" s="357"/>
      <c r="C1444" s="618"/>
      <c r="D1444" s="618"/>
      <c r="E1444" s="274"/>
      <c r="F1444" s="274"/>
      <c r="G1444" s="274"/>
      <c r="H1444" s="274"/>
    </row>
    <row r="1445" spans="1:4" ht="15.75" thickBot="1">
      <c r="A1445" s="213" t="s">
        <v>698</v>
      </c>
      <c r="B1445" s="357"/>
      <c r="C1445" s="376"/>
      <c r="D1445" s="376"/>
    </row>
    <row r="1446" spans="1:4" s="448" customFormat="1" ht="30">
      <c r="A1446" s="442" t="s">
        <v>1017</v>
      </c>
      <c r="B1446" s="460"/>
      <c r="C1446" s="443">
        <v>2002</v>
      </c>
      <c r="D1446" s="444">
        <v>2001</v>
      </c>
    </row>
    <row r="1447" spans="1:4" ht="15">
      <c r="A1447" s="216" t="s">
        <v>1012</v>
      </c>
      <c r="B1447" s="428"/>
      <c r="C1447" s="361">
        <f>C1442-C1453</f>
        <v>24559</v>
      </c>
      <c r="D1447" s="362">
        <f>D1442</f>
        <v>41530</v>
      </c>
    </row>
    <row r="1448" spans="1:4" ht="14.25">
      <c r="A1448" s="216" t="s">
        <v>1009</v>
      </c>
      <c r="B1448" s="428"/>
      <c r="C1448" s="363"/>
      <c r="D1448" s="364">
        <f>D1450+D1452</f>
        <v>0</v>
      </c>
    </row>
    <row r="1449" spans="1:4" ht="14.25">
      <c r="A1449" s="216" t="s">
        <v>147</v>
      </c>
      <c r="B1449" s="428"/>
      <c r="C1449" s="363"/>
      <c r="D1449" s="364"/>
    </row>
    <row r="1450" spans="1:8" s="274" customFormat="1" ht="14.25">
      <c r="A1450" s="216" t="s">
        <v>1007</v>
      </c>
      <c r="B1450" s="428"/>
      <c r="C1450" s="363"/>
      <c r="D1450" s="364"/>
      <c r="E1450"/>
      <c r="F1450"/>
      <c r="G1450"/>
      <c r="H1450"/>
    </row>
    <row r="1451" spans="1:4" ht="14.25">
      <c r="A1451" s="216" t="s">
        <v>148</v>
      </c>
      <c r="B1451" s="428"/>
      <c r="C1451" s="363"/>
      <c r="D1451" s="364"/>
    </row>
    <row r="1452" spans="1:4" ht="14.25">
      <c r="A1452" s="216" t="s">
        <v>1007</v>
      </c>
      <c r="B1452" s="428"/>
      <c r="C1452" s="363"/>
      <c r="D1452" s="364"/>
    </row>
    <row r="1453" spans="1:4" ht="15">
      <c r="A1453" s="216" t="s">
        <v>1014</v>
      </c>
      <c r="B1453" s="428"/>
      <c r="C1453" s="361">
        <f>C1455</f>
        <v>408</v>
      </c>
      <c r="D1453" s="362"/>
    </row>
    <row r="1454" spans="1:4" ht="14.25">
      <c r="A1454" s="216" t="s">
        <v>1009</v>
      </c>
      <c r="B1454" s="428"/>
      <c r="C1454" s="363"/>
      <c r="D1454" s="364"/>
    </row>
    <row r="1455" spans="1:4" ht="14.25">
      <c r="A1455" s="216" t="s">
        <v>147</v>
      </c>
      <c r="B1455" s="428"/>
      <c r="C1455" s="363">
        <v>408</v>
      </c>
      <c r="D1455" s="364"/>
    </row>
    <row r="1456" spans="1:4" ht="14.25">
      <c r="A1456" s="216" t="s">
        <v>1007</v>
      </c>
      <c r="B1456" s="428"/>
      <c r="C1456" s="363"/>
      <c r="D1456" s="364"/>
    </row>
    <row r="1457" spans="1:4" ht="14.25">
      <c r="A1457" s="216" t="s">
        <v>148</v>
      </c>
      <c r="B1457" s="428"/>
      <c r="C1457" s="363"/>
      <c r="D1457" s="364"/>
    </row>
    <row r="1458" spans="1:4" ht="14.25">
      <c r="A1458" s="216" t="s">
        <v>1007</v>
      </c>
      <c r="B1458" s="428"/>
      <c r="C1458" s="363"/>
      <c r="D1458" s="364"/>
    </row>
    <row r="1459" spans="1:4" ht="15">
      <c r="A1459" s="258" t="s">
        <v>1016</v>
      </c>
      <c r="B1459" s="431"/>
      <c r="C1459" s="361">
        <f>C1453+C1447</f>
        <v>24967</v>
      </c>
      <c r="D1459" s="362">
        <f>D1453+D1447</f>
        <v>41530</v>
      </c>
    </row>
    <row r="1460" spans="1:4" ht="15" thickBot="1">
      <c r="A1460" s="259" t="s">
        <v>1009</v>
      </c>
      <c r="B1460" s="429"/>
      <c r="C1460" s="395"/>
      <c r="D1460" s="396"/>
    </row>
    <row r="1461" spans="1:4" ht="14.25">
      <c r="A1461" s="260"/>
      <c r="B1461" s="385"/>
      <c r="C1461" s="618"/>
      <c r="D1461" s="618"/>
    </row>
    <row r="1462" spans="1:4" ht="14.25">
      <c r="A1462" s="359"/>
      <c r="B1462" s="357"/>
      <c r="C1462" s="376"/>
      <c r="D1462" s="376"/>
    </row>
    <row r="1463" spans="1:4" ht="15.75" thickBot="1">
      <c r="A1463" s="213" t="s">
        <v>699</v>
      </c>
      <c r="B1463" s="357"/>
      <c r="C1463" s="376"/>
      <c r="D1463" s="376"/>
    </row>
    <row r="1464" spans="1:4" s="448" customFormat="1" ht="15">
      <c r="A1464" s="442" t="s">
        <v>1018</v>
      </c>
      <c r="B1464" s="460"/>
      <c r="C1464" s="443">
        <v>2002</v>
      </c>
      <c r="D1464" s="444">
        <v>2001</v>
      </c>
    </row>
    <row r="1465" spans="1:4" ht="14.25">
      <c r="A1465" s="216" t="s">
        <v>336</v>
      </c>
      <c r="B1465" s="428"/>
      <c r="C1465" s="393">
        <f>53+58+171+767</f>
        <v>1049</v>
      </c>
      <c r="D1465" s="419">
        <f>315+975</f>
        <v>1290</v>
      </c>
    </row>
    <row r="1466" spans="1:4" ht="14.25">
      <c r="A1466" s="216" t="s">
        <v>337</v>
      </c>
      <c r="B1466" s="428"/>
      <c r="C1466" s="393">
        <f>42+37+70+1823</f>
        <v>1972</v>
      </c>
      <c r="D1466" s="419">
        <f>62+3467</f>
        <v>3529</v>
      </c>
    </row>
    <row r="1467" spans="1:4" ht="14.25">
      <c r="A1467" s="216" t="s">
        <v>1019</v>
      </c>
      <c r="B1467" s="428"/>
      <c r="C1467" s="393">
        <f>1322+1599+1056+3947-140</f>
        <v>7784</v>
      </c>
      <c r="D1467" s="419">
        <f>3286+8118-56-118</f>
        <v>11230</v>
      </c>
    </row>
    <row r="1468" spans="1:4" ht="14.25">
      <c r="A1468" s="216" t="s">
        <v>1020</v>
      </c>
      <c r="B1468" s="428"/>
      <c r="C1468" s="393">
        <f>228+9+9+189</f>
        <v>435</v>
      </c>
      <c r="D1468" s="419">
        <f>722+308</f>
        <v>1030</v>
      </c>
    </row>
    <row r="1469" spans="1:4" ht="14.25">
      <c r="A1469" s="216" t="s">
        <v>1021</v>
      </c>
      <c r="B1469" s="428"/>
      <c r="C1469" s="393">
        <f>520+1248+712+4352</f>
        <v>6832</v>
      </c>
      <c r="D1469" s="419">
        <f>575+7382</f>
        <v>7957</v>
      </c>
    </row>
    <row r="1470" spans="1:4" ht="14.25">
      <c r="A1470" s="216" t="s">
        <v>444</v>
      </c>
      <c r="B1470" s="428"/>
      <c r="C1470" s="393">
        <f>37+70+75+1054</f>
        <v>1236</v>
      </c>
      <c r="D1470" s="419">
        <f>51+1818</f>
        <v>1869</v>
      </c>
    </row>
    <row r="1471" spans="1:4" ht="14.25">
      <c r="A1471" s="216" t="s">
        <v>1115</v>
      </c>
      <c r="B1471" s="428"/>
      <c r="C1471" s="393">
        <f>92+253+178+395</f>
        <v>918</v>
      </c>
      <c r="D1471" s="419">
        <f>88+1369</f>
        <v>1457</v>
      </c>
    </row>
    <row r="1472" spans="1:4" ht="15">
      <c r="A1472" s="258" t="s">
        <v>445</v>
      </c>
      <c r="B1472" s="428"/>
      <c r="C1472" s="474">
        <f>SUM(C1465:C1471)</f>
        <v>20226</v>
      </c>
      <c r="D1472" s="475">
        <f>SUM(D1465:D1471)</f>
        <v>28362</v>
      </c>
    </row>
    <row r="1473" spans="1:4" ht="14.25">
      <c r="A1473" s="216" t="s">
        <v>446</v>
      </c>
      <c r="B1473" s="428"/>
      <c r="C1473" s="393">
        <f>-16+4</f>
        <v>-12</v>
      </c>
      <c r="D1473" s="419">
        <f>-33+87</f>
        <v>54</v>
      </c>
    </row>
    <row r="1474" spans="1:4" ht="28.5">
      <c r="A1474" s="216" t="s">
        <v>447</v>
      </c>
      <c r="B1474" s="428"/>
      <c r="C1474" s="393"/>
      <c r="D1474" s="419"/>
    </row>
    <row r="1475" spans="1:4" ht="14.25">
      <c r="A1475" s="216" t="s">
        <v>448</v>
      </c>
      <c r="B1475" s="428"/>
      <c r="C1475" s="393">
        <f>-291-159</f>
        <v>-450</v>
      </c>
      <c r="D1475" s="419"/>
    </row>
    <row r="1476" spans="1:4" ht="14.25">
      <c r="A1476" s="216" t="s">
        <v>449</v>
      </c>
      <c r="B1476" s="428"/>
      <c r="C1476" s="393">
        <f>-2278-1429-1979-9311+139</f>
        <v>-14858</v>
      </c>
      <c r="D1476" s="419">
        <f>-5066-16450+56+118</f>
        <v>-21342</v>
      </c>
    </row>
    <row r="1477" spans="1:8" s="274" customFormat="1" ht="15" thickBot="1">
      <c r="A1477" s="259" t="s">
        <v>450</v>
      </c>
      <c r="B1477" s="429"/>
      <c r="C1477" s="515">
        <f>C1472+C1473+C1475+C1476</f>
        <v>4906</v>
      </c>
      <c r="D1477" s="515">
        <f>SUM(D1472:D1476)</f>
        <v>7074</v>
      </c>
      <c r="E1477"/>
      <c r="F1477"/>
      <c r="G1477"/>
      <c r="H1477"/>
    </row>
    <row r="1478" spans="1:4" ht="14.25">
      <c r="A1478" s="359"/>
      <c r="B1478" s="357"/>
      <c r="C1478" s="618"/>
      <c r="D1478" s="618"/>
    </row>
    <row r="1479" spans="1:4" ht="15.75" thickBot="1">
      <c r="A1479" s="213" t="s">
        <v>700</v>
      </c>
      <c r="B1479" s="357"/>
      <c r="C1479" s="376"/>
      <c r="D1479" s="407"/>
    </row>
    <row r="1480" spans="1:4" s="448" customFormat="1" ht="15">
      <c r="A1480" s="442" t="s">
        <v>451</v>
      </c>
      <c r="B1480" s="460"/>
      <c r="C1480" s="443">
        <v>2002</v>
      </c>
      <c r="D1480" s="444">
        <v>2001</v>
      </c>
    </row>
    <row r="1481" spans="1:4" ht="14.25">
      <c r="A1481" s="216" t="s">
        <v>452</v>
      </c>
      <c r="B1481" s="428"/>
      <c r="C1481" s="363">
        <f>C1482</f>
        <v>260</v>
      </c>
      <c r="D1481" s="364">
        <f>D1482</f>
        <v>25</v>
      </c>
    </row>
    <row r="1482" spans="1:4" ht="14.25">
      <c r="A1482" s="253" t="s">
        <v>744</v>
      </c>
      <c r="B1482" s="630"/>
      <c r="C1482" s="393">
        <f>168+8+84</f>
        <v>260</v>
      </c>
      <c r="D1482" s="364">
        <v>25</v>
      </c>
    </row>
    <row r="1483" spans="1:4" ht="14.25">
      <c r="A1483" s="216" t="s">
        <v>453</v>
      </c>
      <c r="B1483" s="428"/>
      <c r="C1483" s="363">
        <f>SUM(C1484:C1487)</f>
        <v>654</v>
      </c>
      <c r="D1483" s="364">
        <f>SUM(D1484:D1487)</f>
        <v>477</v>
      </c>
    </row>
    <row r="1484" spans="1:4" ht="14.25">
      <c r="A1484" s="327" t="s">
        <v>627</v>
      </c>
      <c r="B1484" s="431"/>
      <c r="C1484" s="432">
        <v>2</v>
      </c>
      <c r="D1484" s="433">
        <v>133</v>
      </c>
    </row>
    <row r="1485" spans="1:4" ht="14.25">
      <c r="A1485" s="327" t="s">
        <v>529</v>
      </c>
      <c r="B1485" s="431"/>
      <c r="C1485" s="432">
        <v>24</v>
      </c>
      <c r="D1485" s="433"/>
    </row>
    <row r="1486" spans="1:4" ht="14.25">
      <c r="A1486" s="327" t="s">
        <v>478</v>
      </c>
      <c r="B1486" s="431"/>
      <c r="C1486" s="432">
        <v>200</v>
      </c>
      <c r="D1486" s="433">
        <v>200</v>
      </c>
    </row>
    <row r="1487" spans="1:4" ht="14.25">
      <c r="A1487" s="327" t="s">
        <v>751</v>
      </c>
      <c r="B1487" s="431"/>
      <c r="C1487" s="432">
        <f>226+37+6+230-71</f>
        <v>428</v>
      </c>
      <c r="D1487" s="433">
        <f>247+15-118</f>
        <v>144</v>
      </c>
    </row>
    <row r="1488" spans="1:4" ht="14.25">
      <c r="A1488" s="327"/>
      <c r="B1488" s="431"/>
      <c r="C1488" s="432"/>
      <c r="D1488" s="433"/>
    </row>
    <row r="1489" spans="1:4" ht="15.75" thickBot="1">
      <c r="A1489" s="261" t="s">
        <v>454</v>
      </c>
      <c r="B1489" s="429"/>
      <c r="C1489" s="398">
        <f>C1481+C1483</f>
        <v>914</v>
      </c>
      <c r="D1489" s="465">
        <f>D1481+D1483</f>
        <v>502</v>
      </c>
    </row>
    <row r="1490" spans="1:4" ht="14.25">
      <c r="A1490" s="260"/>
      <c r="B1490" s="385"/>
      <c r="C1490" s="685"/>
      <c r="D1490" s="685"/>
    </row>
    <row r="1491" spans="1:4" ht="14.25">
      <c r="A1491" s="359"/>
      <c r="B1491" s="357"/>
      <c r="C1491" s="376"/>
      <c r="D1491" s="376"/>
    </row>
    <row r="1492" spans="1:4" s="448" customFormat="1" ht="15.75" thickBot="1">
      <c r="A1492" s="457" t="s">
        <v>1084</v>
      </c>
      <c r="B1492" s="458"/>
      <c r="C1492" s="459"/>
      <c r="D1492" s="459"/>
    </row>
    <row r="1493" spans="1:4" s="448" customFormat="1" ht="15">
      <c r="A1493" s="442" t="s">
        <v>455</v>
      </c>
      <c r="B1493" s="460"/>
      <c r="C1493" s="443">
        <v>2002</v>
      </c>
      <c r="D1493" s="444">
        <v>2001</v>
      </c>
    </row>
    <row r="1494" spans="1:4" ht="14.25">
      <c r="A1494" s="216" t="s">
        <v>456</v>
      </c>
      <c r="B1494" s="428"/>
      <c r="C1494" s="363">
        <f>C1495</f>
        <v>83</v>
      </c>
      <c r="D1494" s="364">
        <f>D1495</f>
        <v>0</v>
      </c>
    </row>
    <row r="1495" spans="1:8" ht="14.25">
      <c r="A1495" s="253" t="s">
        <v>744</v>
      </c>
      <c r="B1495" s="428"/>
      <c r="C1495" s="363">
        <v>83</v>
      </c>
      <c r="D1495" s="364"/>
      <c r="E1495" s="274"/>
      <c r="F1495" s="274"/>
      <c r="G1495" s="274"/>
      <c r="H1495" s="274"/>
    </row>
    <row r="1496" spans="1:4" ht="14.25">
      <c r="A1496" s="216" t="s">
        <v>453</v>
      </c>
      <c r="B1496" s="428"/>
      <c r="C1496" s="363">
        <f>SUM(C1497:C1502)</f>
        <v>418</v>
      </c>
      <c r="D1496" s="364">
        <f>SUM(D1497:D1502)</f>
        <v>847</v>
      </c>
    </row>
    <row r="1497" spans="1:4" ht="14.25">
      <c r="A1497" s="216" t="s">
        <v>776</v>
      </c>
      <c r="B1497" s="428"/>
      <c r="C1497" s="363">
        <v>10</v>
      </c>
      <c r="D1497" s="364">
        <f>7+2</f>
        <v>9</v>
      </c>
    </row>
    <row r="1498" spans="1:4" ht="14.25">
      <c r="A1498" s="216" t="s">
        <v>629</v>
      </c>
      <c r="B1498" s="428"/>
      <c r="C1498" s="363">
        <v>16</v>
      </c>
      <c r="D1498" s="364"/>
    </row>
    <row r="1499" spans="1:4" ht="14.25">
      <c r="A1499" s="216" t="s">
        <v>479</v>
      </c>
      <c r="B1499" s="428"/>
      <c r="C1499" s="363">
        <v>179</v>
      </c>
      <c r="D1499" s="364"/>
    </row>
    <row r="1500" spans="1:4" ht="14.25">
      <c r="A1500" s="216" t="s">
        <v>480</v>
      </c>
      <c r="B1500" s="428"/>
      <c r="C1500" s="363">
        <v>20</v>
      </c>
      <c r="D1500" s="364">
        <v>9</v>
      </c>
    </row>
    <row r="1501" spans="1:4" ht="14.25">
      <c r="A1501" s="216" t="s">
        <v>481</v>
      </c>
      <c r="B1501" s="428"/>
      <c r="C1501" s="363">
        <v>36</v>
      </c>
      <c r="D1501" s="364">
        <v>450</v>
      </c>
    </row>
    <row r="1502" spans="1:4" ht="14.25">
      <c r="A1502" s="216" t="s">
        <v>751</v>
      </c>
      <c r="B1502" s="428"/>
      <c r="C1502" s="363">
        <f>234+24+164-34-231</f>
        <v>157</v>
      </c>
      <c r="D1502" s="364">
        <f>317+62</f>
        <v>379</v>
      </c>
    </row>
    <row r="1503" spans="1:8" s="274" customFormat="1" ht="15.75" thickBot="1">
      <c r="A1503" s="261" t="s">
        <v>457</v>
      </c>
      <c r="B1503" s="429"/>
      <c r="C1503" s="425">
        <f>C1494+C1496</f>
        <v>501</v>
      </c>
      <c r="D1503" s="465">
        <f>D1494+D1496</f>
        <v>847</v>
      </c>
      <c r="E1503"/>
      <c r="F1503"/>
      <c r="G1503"/>
      <c r="H1503"/>
    </row>
    <row r="1504" spans="1:4" ht="14.25">
      <c r="A1504" s="359"/>
      <c r="B1504" s="357"/>
      <c r="C1504" s="685"/>
      <c r="D1504" s="685"/>
    </row>
    <row r="1505" spans="1:4" ht="14.25">
      <c r="A1505" s="427"/>
      <c r="B1505" s="357"/>
      <c r="C1505" s="376"/>
      <c r="D1505" s="376"/>
    </row>
    <row r="1506" spans="1:8" ht="15.75" thickBot="1">
      <c r="A1506" s="213" t="s">
        <v>701</v>
      </c>
      <c r="B1506" s="357"/>
      <c r="C1506" s="376"/>
      <c r="D1506" s="376"/>
      <c r="E1506" s="274"/>
      <c r="F1506" s="274"/>
      <c r="G1506" s="274"/>
      <c r="H1506" s="274"/>
    </row>
    <row r="1507" spans="1:4" s="448" customFormat="1" ht="30">
      <c r="A1507" s="442" t="s">
        <v>458</v>
      </c>
      <c r="B1507" s="460"/>
      <c r="C1507" s="443">
        <v>2002</v>
      </c>
      <c r="D1507" s="444">
        <v>2001</v>
      </c>
    </row>
    <row r="1508" spans="1:4" ht="14.25">
      <c r="A1508" s="216" t="s">
        <v>459</v>
      </c>
      <c r="B1508" s="428"/>
      <c r="C1508" s="363">
        <f>SUM(C1509:C1513)</f>
        <v>0</v>
      </c>
      <c r="D1508" s="364">
        <f>SUM(D1509:D1513)</f>
        <v>0</v>
      </c>
    </row>
    <row r="1509" spans="1:4" ht="14.25">
      <c r="A1509" s="216" t="s">
        <v>1097</v>
      </c>
      <c r="B1509" s="428"/>
      <c r="C1509" s="363"/>
      <c r="D1509" s="364"/>
    </row>
    <row r="1510" spans="1:4" ht="14.25">
      <c r="A1510" s="216" t="s">
        <v>1098</v>
      </c>
      <c r="B1510" s="428"/>
      <c r="C1510" s="363"/>
      <c r="D1510" s="364"/>
    </row>
    <row r="1511" spans="1:4" ht="14.25">
      <c r="A1511" s="216" t="s">
        <v>1099</v>
      </c>
      <c r="B1511" s="428"/>
      <c r="C1511" s="363"/>
      <c r="D1511" s="364"/>
    </row>
    <row r="1512" spans="1:8" s="274" customFormat="1" ht="14.25">
      <c r="A1512" s="216" t="s">
        <v>1100</v>
      </c>
      <c r="B1512" s="428"/>
      <c r="C1512" s="363"/>
      <c r="D1512" s="364"/>
      <c r="E1512"/>
      <c r="F1512"/>
      <c r="G1512"/>
      <c r="H1512"/>
    </row>
    <row r="1513" spans="1:4" ht="14.25">
      <c r="A1513" s="216" t="s">
        <v>1101</v>
      </c>
      <c r="B1513" s="428"/>
      <c r="C1513" s="363"/>
      <c r="D1513" s="364"/>
    </row>
    <row r="1514" spans="1:4" ht="14.25">
      <c r="A1514" s="216" t="s">
        <v>460</v>
      </c>
      <c r="B1514" s="428"/>
      <c r="C1514" s="363"/>
      <c r="D1514" s="364"/>
    </row>
    <row r="1515" spans="1:8" ht="15.75" thickBot="1">
      <c r="A1515" s="261" t="s">
        <v>461</v>
      </c>
      <c r="B1515" s="429"/>
      <c r="C1515" s="398">
        <f>C1514+C1508</f>
        <v>0</v>
      </c>
      <c r="D1515" s="465">
        <f>D1514+D1508</f>
        <v>0</v>
      </c>
      <c r="E1515" s="274"/>
      <c r="F1515" s="274"/>
      <c r="G1515" s="274"/>
      <c r="H1515" s="274"/>
    </row>
    <row r="1516" spans="1:4" ht="14.25">
      <c r="A1516" s="359"/>
      <c r="B1516" s="357"/>
      <c r="C1516" s="510"/>
      <c r="D1516" s="510"/>
    </row>
    <row r="1517" spans="1:4" ht="15.75" thickBot="1">
      <c r="A1517" s="213" t="s">
        <v>702</v>
      </c>
      <c r="B1517" s="357"/>
      <c r="C1517" s="376"/>
      <c r="D1517" s="376"/>
    </row>
    <row r="1518" spans="1:4" s="448" customFormat="1" ht="15">
      <c r="A1518" s="442" t="s">
        <v>463</v>
      </c>
      <c r="B1518" s="460"/>
      <c r="C1518" s="443">
        <v>2002</v>
      </c>
      <c r="D1518" s="444">
        <v>2001</v>
      </c>
    </row>
    <row r="1519" spans="1:4" ht="14.25">
      <c r="A1519" s="216" t="s">
        <v>464</v>
      </c>
      <c r="B1519" s="428"/>
      <c r="C1519" s="363">
        <f>C1520+C1526</f>
        <v>747</v>
      </c>
      <c r="D1519" s="364">
        <f>D1526+D1520</f>
        <v>942</v>
      </c>
    </row>
    <row r="1520" spans="1:4" ht="14.25">
      <c r="A1520" s="216" t="s">
        <v>465</v>
      </c>
      <c r="B1520" s="428"/>
      <c r="C1520" s="363">
        <f>SUM(C1521:C1525)</f>
        <v>651</v>
      </c>
      <c r="D1520" s="419">
        <f>SUM(D1521:D1525)</f>
        <v>835</v>
      </c>
    </row>
    <row r="1521" spans="1:8" s="274" customFormat="1" ht="14.25">
      <c r="A1521" s="216" t="s">
        <v>326</v>
      </c>
      <c r="B1521" s="428"/>
      <c r="C1521" s="363">
        <f>843-448</f>
        <v>395</v>
      </c>
      <c r="D1521" s="364">
        <f>739-90</f>
        <v>649</v>
      </c>
      <c r="E1521"/>
      <c r="F1521"/>
      <c r="G1521"/>
      <c r="H1521"/>
    </row>
    <row r="1522" spans="1:4" ht="14.25">
      <c r="A1522" s="216" t="s">
        <v>327</v>
      </c>
      <c r="B1522" s="428"/>
      <c r="C1522" s="363"/>
      <c r="D1522" s="364"/>
    </row>
    <row r="1523" spans="1:4" ht="14.25">
      <c r="A1523" s="216" t="s">
        <v>328</v>
      </c>
      <c r="B1523" s="428"/>
      <c r="C1523" s="363">
        <f>57+53</f>
        <v>110</v>
      </c>
      <c r="D1523" s="364">
        <v>110</v>
      </c>
    </row>
    <row r="1524" spans="1:4" ht="14.25">
      <c r="A1524" s="216" t="s">
        <v>329</v>
      </c>
      <c r="B1524" s="428"/>
      <c r="C1524" s="363"/>
      <c r="D1524" s="364"/>
    </row>
    <row r="1525" spans="1:4" ht="14.25">
      <c r="A1525" s="216" t="s">
        <v>330</v>
      </c>
      <c r="B1525" s="428"/>
      <c r="C1525" s="363">
        <v>146</v>
      </c>
      <c r="D1525" s="364">
        <v>76</v>
      </c>
    </row>
    <row r="1526" spans="1:8" ht="14.25">
      <c r="A1526" s="216" t="s">
        <v>1063</v>
      </c>
      <c r="B1526" s="428"/>
      <c r="C1526" s="363">
        <v>96</v>
      </c>
      <c r="D1526" s="364">
        <v>107</v>
      </c>
      <c r="E1526" s="274"/>
      <c r="F1526" s="274"/>
      <c r="G1526" s="274"/>
      <c r="H1526" s="274"/>
    </row>
    <row r="1527" spans="1:4" ht="14.25">
      <c r="A1527" s="216" t="s">
        <v>466</v>
      </c>
      <c r="B1527" s="428"/>
      <c r="C1527" s="363">
        <f>C1534</f>
        <v>737</v>
      </c>
      <c r="D1527" s="364">
        <f>D1534</f>
        <v>1729</v>
      </c>
    </row>
    <row r="1528" spans="1:4" ht="14.25">
      <c r="A1528" s="216" t="s">
        <v>465</v>
      </c>
      <c r="B1528" s="428"/>
      <c r="C1528" s="363"/>
      <c r="D1528" s="364"/>
    </row>
    <row r="1529" spans="1:4" ht="14.25">
      <c r="A1529" s="216" t="s">
        <v>326</v>
      </c>
      <c r="B1529" s="428"/>
      <c r="C1529" s="363"/>
      <c r="D1529" s="364"/>
    </row>
    <row r="1530" spans="1:4" ht="14.25">
      <c r="A1530" s="216" t="s">
        <v>327</v>
      </c>
      <c r="B1530" s="428"/>
      <c r="C1530" s="363"/>
      <c r="D1530" s="364"/>
    </row>
    <row r="1531" spans="1:4" ht="14.25">
      <c r="A1531" s="216" t="s">
        <v>328</v>
      </c>
      <c r="B1531" s="428"/>
      <c r="C1531" s="363"/>
      <c r="D1531" s="364"/>
    </row>
    <row r="1532" spans="1:8" s="274" customFormat="1" ht="14.25">
      <c r="A1532" s="216" t="s">
        <v>329</v>
      </c>
      <c r="B1532" s="428"/>
      <c r="C1532" s="363"/>
      <c r="D1532" s="364"/>
      <c r="E1532"/>
      <c r="F1532"/>
      <c r="G1532"/>
      <c r="H1532"/>
    </row>
    <row r="1533" spans="1:4" ht="14.25">
      <c r="A1533" s="216" t="s">
        <v>330</v>
      </c>
      <c r="B1533" s="428"/>
      <c r="C1533" s="363"/>
      <c r="D1533" s="364"/>
    </row>
    <row r="1534" spans="1:4" ht="14.25">
      <c r="A1534" s="216" t="s">
        <v>1063</v>
      </c>
      <c r="B1534" s="428"/>
      <c r="C1534" s="363">
        <f>486+81+47+123</f>
        <v>737</v>
      </c>
      <c r="D1534" s="364">
        <f>1682+47</f>
        <v>1729</v>
      </c>
    </row>
    <row r="1535" spans="1:4" ht="15.75" thickBot="1">
      <c r="A1535" s="261" t="s">
        <v>1062</v>
      </c>
      <c r="B1535" s="429"/>
      <c r="C1535" s="398">
        <f>C1519+C1527</f>
        <v>1484</v>
      </c>
      <c r="D1535" s="465">
        <f>D1519+D1527</f>
        <v>2671</v>
      </c>
    </row>
    <row r="1536" spans="1:4" ht="14.25">
      <c r="A1536" s="359"/>
      <c r="B1536" s="357"/>
      <c r="C1536" s="685"/>
      <c r="D1536" s="685"/>
    </row>
    <row r="1537" spans="1:4" ht="15.75" thickBot="1">
      <c r="A1537" s="213" t="s">
        <v>703</v>
      </c>
      <c r="B1537" s="357"/>
      <c r="C1537" s="376"/>
      <c r="D1537" s="376"/>
    </row>
    <row r="1538" spans="1:4" s="448" customFormat="1" ht="15">
      <c r="A1538" s="442" t="s">
        <v>1064</v>
      </c>
      <c r="B1538" s="460"/>
      <c r="C1538" s="443">
        <v>2002</v>
      </c>
      <c r="D1538" s="444">
        <v>2001</v>
      </c>
    </row>
    <row r="1539" spans="1:4" ht="14.25">
      <c r="A1539" s="253" t="s">
        <v>1065</v>
      </c>
      <c r="B1539" s="630"/>
      <c r="C1539" s="363">
        <f>C1540+C1541</f>
        <v>128</v>
      </c>
      <c r="D1539" s="364">
        <f>D1540+D1541</f>
        <v>2</v>
      </c>
    </row>
    <row r="1540" spans="1:4" ht="14.25">
      <c r="A1540" s="216" t="s">
        <v>1069</v>
      </c>
      <c r="B1540" s="428"/>
      <c r="C1540" s="393">
        <f>81+356+2-308-3</f>
        <v>128</v>
      </c>
      <c r="D1540" s="364">
        <v>2</v>
      </c>
    </row>
    <row r="1541" spans="1:4" ht="14.25">
      <c r="A1541" s="216" t="s">
        <v>1070</v>
      </c>
      <c r="B1541" s="428"/>
      <c r="C1541" s="393"/>
      <c r="D1541" s="364"/>
    </row>
    <row r="1542" spans="1:4" ht="14.25">
      <c r="A1542" s="216" t="s">
        <v>1066</v>
      </c>
      <c r="B1542" s="428"/>
      <c r="C1542" s="393"/>
      <c r="D1542" s="364"/>
    </row>
    <row r="1543" spans="1:5" ht="14.25">
      <c r="A1543" s="216" t="s">
        <v>149</v>
      </c>
      <c r="B1543" s="428"/>
      <c r="C1543" s="393"/>
      <c r="D1543" s="364"/>
      <c r="E1543" s="476"/>
    </row>
    <row r="1544" spans="1:4" ht="14.25">
      <c r="A1544" s="216" t="s">
        <v>482</v>
      </c>
      <c r="B1544" s="428"/>
      <c r="C1544" s="393">
        <f>41-38-3</f>
        <v>0</v>
      </c>
      <c r="D1544" s="419">
        <v>69</v>
      </c>
    </row>
    <row r="1545" spans="1:8" ht="15.75" thickBot="1">
      <c r="A1545" s="261" t="s">
        <v>1068</v>
      </c>
      <c r="B1545" s="429"/>
      <c r="C1545" s="425">
        <f>C1539+C1542+C1544</f>
        <v>128</v>
      </c>
      <c r="D1545" s="465">
        <f>D1539+D1542+D1544</f>
        <v>71</v>
      </c>
      <c r="E1545" s="274"/>
      <c r="F1545" s="274"/>
      <c r="G1545" s="274"/>
      <c r="H1545" s="274"/>
    </row>
    <row r="1546" spans="1:4" ht="14.25">
      <c r="A1546" s="359"/>
      <c r="B1546" s="357"/>
      <c r="C1546" s="358"/>
      <c r="D1546" s="685"/>
    </row>
    <row r="1547" spans="1:3" ht="14.25">
      <c r="A1547" s="359"/>
      <c r="B1547" s="357"/>
      <c r="C1547" s="483"/>
    </row>
    <row r="1548" spans="1:4" ht="15.75" thickBot="1">
      <c r="A1548" s="213" t="s">
        <v>704</v>
      </c>
      <c r="B1548" s="357"/>
      <c r="C1548" s="358"/>
      <c r="D1548" s="358"/>
    </row>
    <row r="1549" spans="1:4" s="448" customFormat="1" ht="15">
      <c r="A1549" s="442" t="s">
        <v>1071</v>
      </c>
      <c r="B1549" s="460"/>
      <c r="C1549" s="443">
        <v>2002</v>
      </c>
      <c r="D1549" s="444">
        <v>2001</v>
      </c>
    </row>
    <row r="1550" spans="1:4" ht="14.25">
      <c r="A1550" s="216" t="s">
        <v>1072</v>
      </c>
      <c r="B1550" s="428"/>
      <c r="C1550" s="363">
        <f>C1551+C1557</f>
        <v>2</v>
      </c>
      <c r="D1550" s="364">
        <f>D1551</f>
        <v>31</v>
      </c>
    </row>
    <row r="1551" spans="1:8" s="274" customFormat="1" ht="14.25">
      <c r="A1551" s="216" t="s">
        <v>1073</v>
      </c>
      <c r="B1551" s="428"/>
      <c r="C1551" s="363">
        <f>C1556</f>
        <v>0</v>
      </c>
      <c r="D1551" s="364">
        <f>D1554+D1556</f>
        <v>31</v>
      </c>
      <c r="E1551"/>
      <c r="F1551"/>
      <c r="G1551"/>
      <c r="H1551"/>
    </row>
    <row r="1552" spans="1:4" ht="14.25">
      <c r="A1552" s="216" t="s">
        <v>1075</v>
      </c>
      <c r="B1552" s="428"/>
      <c r="C1552" s="363"/>
      <c r="D1552" s="364"/>
    </row>
    <row r="1553" spans="1:4" ht="14.25">
      <c r="A1553" s="216" t="s">
        <v>1076</v>
      </c>
      <c r="B1553" s="428"/>
      <c r="C1553" s="363"/>
      <c r="D1553" s="364"/>
    </row>
    <row r="1554" spans="1:4" ht="14.25">
      <c r="A1554" s="216" t="s">
        <v>1077</v>
      </c>
      <c r="B1554" s="428"/>
      <c r="C1554" s="363"/>
      <c r="D1554" s="364">
        <v>31</v>
      </c>
    </row>
    <row r="1555" spans="1:4" ht="14.25">
      <c r="A1555" s="253" t="s">
        <v>1078</v>
      </c>
      <c r="B1555" s="545"/>
      <c r="C1555" s="393"/>
      <c r="D1555" s="364"/>
    </row>
    <row r="1556" spans="1:4" ht="14.25">
      <c r="A1556" s="253" t="s">
        <v>1079</v>
      </c>
      <c r="B1556" s="545"/>
      <c r="C1556" s="393">
        <f>43+429-472</f>
        <v>0</v>
      </c>
      <c r="D1556" s="364">
        <f>90-90</f>
        <v>0</v>
      </c>
    </row>
    <row r="1557" spans="1:8" ht="14.25">
      <c r="A1557" s="216" t="s">
        <v>1080</v>
      </c>
      <c r="B1557" s="428"/>
      <c r="C1557" s="363">
        <v>2</v>
      </c>
      <c r="D1557" s="364"/>
      <c r="E1557" s="274"/>
      <c r="F1557" s="274"/>
      <c r="G1557" s="274"/>
      <c r="H1557" s="274"/>
    </row>
    <row r="1558" spans="1:4" ht="14.25">
      <c r="A1558" s="216" t="s">
        <v>466</v>
      </c>
      <c r="B1558" s="428"/>
      <c r="C1558" s="363">
        <f>C1565</f>
        <v>1238</v>
      </c>
      <c r="D1558" s="364">
        <f>D1565</f>
        <v>918</v>
      </c>
    </row>
    <row r="1559" spans="1:4" ht="14.25">
      <c r="A1559" s="216" t="s">
        <v>1073</v>
      </c>
      <c r="B1559" s="428"/>
      <c r="C1559" s="363"/>
      <c r="D1559" s="364"/>
    </row>
    <row r="1560" spans="1:4" ht="14.25">
      <c r="A1560" s="216" t="s">
        <v>1075</v>
      </c>
      <c r="B1560" s="428"/>
      <c r="C1560" s="363"/>
      <c r="D1560" s="364"/>
    </row>
    <row r="1561" spans="1:4" ht="14.25">
      <c r="A1561" s="216" t="s">
        <v>1076</v>
      </c>
      <c r="B1561" s="428"/>
      <c r="C1561" s="363"/>
      <c r="D1561" s="364"/>
    </row>
    <row r="1562" spans="1:4" ht="14.25">
      <c r="A1562" s="216" t="s">
        <v>1077</v>
      </c>
      <c r="B1562" s="428"/>
      <c r="C1562" s="363"/>
      <c r="D1562" s="364"/>
    </row>
    <row r="1563" spans="1:8" s="274" customFormat="1" ht="14.25">
      <c r="A1563" s="216" t="s">
        <v>1078</v>
      </c>
      <c r="B1563" s="428"/>
      <c r="C1563" s="363"/>
      <c r="D1563" s="364"/>
      <c r="E1563"/>
      <c r="F1563"/>
      <c r="G1563"/>
      <c r="H1563"/>
    </row>
    <row r="1564" spans="1:4" ht="14.25">
      <c r="A1564" s="216" t="s">
        <v>1079</v>
      </c>
      <c r="B1564" s="428"/>
      <c r="C1564" s="363"/>
      <c r="D1564" s="364"/>
    </row>
    <row r="1565" spans="1:4" ht="14.25">
      <c r="A1565" s="216" t="s">
        <v>1080</v>
      </c>
      <c r="B1565" s="428"/>
      <c r="C1565" s="363">
        <f>1+3+1257-23</f>
        <v>1238</v>
      </c>
      <c r="D1565" s="364">
        <f>48+868+2</f>
        <v>918</v>
      </c>
    </row>
    <row r="1566" spans="1:4" ht="15.75" thickBot="1">
      <c r="A1566" s="261" t="s">
        <v>1074</v>
      </c>
      <c r="B1566" s="429"/>
      <c r="C1566" s="398">
        <f>C1550+C1558</f>
        <v>1240</v>
      </c>
      <c r="D1566" s="465">
        <f>D1550+D1558</f>
        <v>949</v>
      </c>
    </row>
    <row r="1567" spans="1:4" ht="14.25">
      <c r="A1567" s="359"/>
      <c r="B1567" s="357"/>
      <c r="C1567" s="685"/>
      <c r="D1567" s="685"/>
    </row>
    <row r="1568" spans="1:4" ht="15.75" thickBot="1">
      <c r="A1568" s="213" t="s">
        <v>705</v>
      </c>
      <c r="B1568" s="357"/>
      <c r="C1568" s="376"/>
      <c r="D1568" s="407"/>
    </row>
    <row r="1569" spans="1:4" s="448" customFormat="1" ht="15">
      <c r="A1569" s="442" t="s">
        <v>1081</v>
      </c>
      <c r="B1569" s="460"/>
      <c r="C1569" s="443">
        <v>2002</v>
      </c>
      <c r="D1569" s="444">
        <v>2001</v>
      </c>
    </row>
    <row r="1570" spans="1:4" ht="14.25">
      <c r="A1570" s="638" t="s">
        <v>1117</v>
      </c>
      <c r="B1570" s="428"/>
      <c r="C1570" s="419">
        <f>C1571+C1572</f>
        <v>997</v>
      </c>
      <c r="D1570" s="419">
        <f>D1571+D1572</f>
        <v>163</v>
      </c>
    </row>
    <row r="1571" spans="1:4" ht="14.25">
      <c r="A1571" s="253" t="s">
        <v>1069</v>
      </c>
      <c r="B1571" s="428"/>
      <c r="C1571" s="393">
        <f>363</f>
        <v>363</v>
      </c>
      <c r="D1571" s="419">
        <v>3</v>
      </c>
    </row>
    <row r="1572" spans="1:4" ht="14.25">
      <c r="A1572" s="253" t="s">
        <v>1070</v>
      </c>
      <c r="B1572" s="428"/>
      <c r="C1572" s="393">
        <f>634</f>
        <v>634</v>
      </c>
      <c r="D1572" s="419">
        <v>160</v>
      </c>
    </row>
    <row r="1573" spans="1:4" ht="14.25">
      <c r="A1573" s="216" t="s">
        <v>1082</v>
      </c>
      <c r="B1573" s="428"/>
      <c r="C1573" s="393"/>
      <c r="D1573" s="419">
        <f>D1574</f>
        <v>17</v>
      </c>
    </row>
    <row r="1574" spans="1:4" ht="14.25">
      <c r="A1574" s="216" t="s">
        <v>530</v>
      </c>
      <c r="B1574" s="428"/>
      <c r="C1574" s="393"/>
      <c r="D1574" s="419">
        <v>17</v>
      </c>
    </row>
    <row r="1575" spans="1:4" ht="14.25">
      <c r="A1575" s="216" t="s">
        <v>1067</v>
      </c>
      <c r="B1575" s="428"/>
      <c r="C1575" s="393">
        <f>SUM(C1576:C1580)</f>
        <v>2629</v>
      </c>
      <c r="D1575" s="419">
        <f>SUM(D1576:D1579)</f>
        <v>2120</v>
      </c>
    </row>
    <row r="1576" spans="1:4" ht="14.25">
      <c r="A1576" s="216" t="s">
        <v>361</v>
      </c>
      <c r="B1576" s="428"/>
      <c r="C1576" s="393">
        <f>103-103</f>
        <v>0</v>
      </c>
      <c r="D1576" s="419">
        <v>104</v>
      </c>
    </row>
    <row r="1577" spans="1:4" ht="14.25">
      <c r="A1577" s="327" t="s">
        <v>628</v>
      </c>
      <c r="B1577" s="431"/>
      <c r="C1577" s="512">
        <f>868+112</f>
        <v>980</v>
      </c>
      <c r="D1577" s="511"/>
    </row>
    <row r="1578" spans="1:5" ht="14.25">
      <c r="A1578" s="327" t="s">
        <v>483</v>
      </c>
      <c r="B1578" s="431"/>
      <c r="C1578" s="512"/>
      <c r="D1578" s="511">
        <v>1968</v>
      </c>
      <c r="E1578" s="476"/>
    </row>
    <row r="1579" spans="1:5" ht="14.25">
      <c r="A1579" s="327" t="s">
        <v>362</v>
      </c>
      <c r="B1579" s="431"/>
      <c r="C1579" s="512">
        <f>50-38</f>
        <v>12</v>
      </c>
      <c r="D1579" s="511">
        <v>48</v>
      </c>
      <c r="E1579" s="476"/>
    </row>
    <row r="1580" spans="1:5" ht="14.25" customHeight="1">
      <c r="A1580" s="740" t="s">
        <v>489</v>
      </c>
      <c r="B1580" s="741"/>
      <c r="C1580" s="512">
        <f>47+1590</f>
        <v>1637</v>
      </c>
      <c r="D1580" s="511"/>
      <c r="E1580" s="476"/>
    </row>
    <row r="1581" spans="1:8" ht="15.75" thickBot="1">
      <c r="A1581" s="261" t="s">
        <v>1083</v>
      </c>
      <c r="B1581" s="429"/>
      <c r="C1581" s="425">
        <f>C1575+C1573+C1570</f>
        <v>3626</v>
      </c>
      <c r="D1581" s="465">
        <f>D1570+D1575+D1573</f>
        <v>2300</v>
      </c>
      <c r="E1581" s="274"/>
      <c r="F1581" s="274"/>
      <c r="G1581" s="274"/>
      <c r="H1581" s="274"/>
    </row>
    <row r="1582" spans="1:4" ht="14.25">
      <c r="A1582" s="359"/>
      <c r="B1582" s="357"/>
      <c r="C1582" s="685"/>
      <c r="D1582" s="685"/>
    </row>
    <row r="1583" spans="1:4" ht="14.25">
      <c r="A1583" s="359"/>
      <c r="B1583" s="357"/>
      <c r="C1583" s="483"/>
      <c r="D1583" s="358"/>
    </row>
    <row r="1584" spans="1:4" ht="15">
      <c r="A1584" s="213" t="s">
        <v>706</v>
      </c>
      <c r="B1584" s="376"/>
      <c r="C1584" s="376"/>
      <c r="D1584" s="358"/>
    </row>
    <row r="1585" spans="1:4" ht="30">
      <c r="A1585" s="213" t="s">
        <v>372</v>
      </c>
      <c r="B1585" s="376"/>
      <c r="C1585" s="376"/>
      <c r="D1585" s="358"/>
    </row>
    <row r="1586" spans="1:4" ht="14.25">
      <c r="A1586" s="359"/>
      <c r="B1586" s="376"/>
      <c r="C1586" s="376"/>
      <c r="D1586" s="358"/>
    </row>
    <row r="1587" spans="1:8" s="274" customFormat="1" ht="85.5">
      <c r="A1587" s="427" t="s">
        <v>490</v>
      </c>
      <c r="B1587" s="376"/>
      <c r="C1587" s="376"/>
      <c r="D1587" s="358"/>
      <c r="E1587"/>
      <c r="F1587"/>
      <c r="G1587"/>
      <c r="H1587"/>
    </row>
    <row r="1588" spans="1:4" ht="14.25">
      <c r="A1588" s="359"/>
      <c r="B1588" s="357"/>
      <c r="C1588" s="358"/>
      <c r="D1588" s="358"/>
    </row>
    <row r="1589" spans="1:4" ht="14.25">
      <c r="A1589" s="359"/>
      <c r="B1589" s="357"/>
      <c r="C1589" s="358"/>
      <c r="D1589" s="358"/>
    </row>
    <row r="1590" spans="1:4" ht="15.75" thickBot="1">
      <c r="A1590" s="213" t="s">
        <v>428</v>
      </c>
      <c r="B1590" s="357"/>
      <c r="C1590" s="358"/>
      <c r="D1590" s="358"/>
    </row>
    <row r="1591" spans="1:4" s="448" customFormat="1" ht="15">
      <c r="A1591" s="442" t="s">
        <v>491</v>
      </c>
      <c r="B1591" s="460"/>
      <c r="C1591" s="443">
        <v>2002</v>
      </c>
      <c r="D1591" s="444">
        <v>2001</v>
      </c>
    </row>
    <row r="1592" spans="1:4" ht="14.25">
      <c r="A1592" s="216" t="s">
        <v>492</v>
      </c>
      <c r="B1592" s="428"/>
      <c r="C1592" s="363"/>
      <c r="D1592" s="364">
        <v>38</v>
      </c>
    </row>
    <row r="1593" spans="1:4" ht="14.25">
      <c r="A1593" s="216" t="s">
        <v>493</v>
      </c>
      <c r="B1593" s="428"/>
      <c r="C1593" s="363"/>
      <c r="D1593" s="363"/>
    </row>
    <row r="1594" spans="1:4" ht="14.25">
      <c r="A1594" s="216" t="s">
        <v>12</v>
      </c>
      <c r="B1594" s="428"/>
      <c r="C1594" s="363"/>
      <c r="D1594" s="363"/>
    </row>
    <row r="1595" spans="1:4" ht="14.25">
      <c r="A1595" s="216" t="s">
        <v>954</v>
      </c>
      <c r="B1595" s="428"/>
      <c r="C1595" s="363"/>
      <c r="D1595" s="363"/>
    </row>
    <row r="1596" spans="1:4" ht="14.25">
      <c r="A1596" s="216" t="s">
        <v>495</v>
      </c>
      <c r="B1596" s="428"/>
      <c r="C1596" s="363"/>
      <c r="D1596" s="363"/>
    </row>
    <row r="1597" spans="1:4" ht="14.25">
      <c r="A1597" s="216" t="s">
        <v>954</v>
      </c>
      <c r="B1597" s="428"/>
      <c r="C1597" s="363"/>
      <c r="D1597" s="363"/>
    </row>
    <row r="1598" spans="1:4" ht="15.75" thickBot="1">
      <c r="A1598" s="261" t="s">
        <v>494</v>
      </c>
      <c r="B1598" s="429"/>
      <c r="C1598" s="398"/>
      <c r="D1598" s="425">
        <f>D1592+D1593</f>
        <v>38</v>
      </c>
    </row>
    <row r="1599" spans="1:8" ht="14.25">
      <c r="A1599" s="260"/>
      <c r="B1599" s="385"/>
      <c r="C1599" s="685"/>
      <c r="D1599" s="685"/>
      <c r="E1599" s="274"/>
      <c r="F1599" s="274"/>
      <c r="G1599" s="274"/>
      <c r="H1599" s="274"/>
    </row>
    <row r="1600" spans="1:4" ht="14.25">
      <c r="A1600" s="359"/>
      <c r="B1600" s="357"/>
      <c r="C1600" s="376"/>
      <c r="D1600" s="376"/>
    </row>
    <row r="1601" spans="1:4" ht="15.75" thickBot="1">
      <c r="A1601" s="213" t="s">
        <v>431</v>
      </c>
      <c r="B1601" s="357"/>
      <c r="C1601" s="376"/>
      <c r="D1601" s="376"/>
    </row>
    <row r="1602" spans="1:4" s="448" customFormat="1" ht="15">
      <c r="A1602" s="442" t="s">
        <v>496</v>
      </c>
      <c r="B1602" s="460"/>
      <c r="C1602" s="443">
        <v>2002</v>
      </c>
      <c r="D1602" s="444">
        <v>2001</v>
      </c>
    </row>
    <row r="1603" spans="1:4" ht="14.25">
      <c r="A1603" s="216" t="s">
        <v>492</v>
      </c>
      <c r="B1603" s="428"/>
      <c r="C1603" s="363"/>
      <c r="D1603" s="364">
        <v>18</v>
      </c>
    </row>
    <row r="1604" spans="1:4" ht="14.25">
      <c r="A1604" s="216" t="s">
        <v>493</v>
      </c>
      <c r="B1604" s="428"/>
      <c r="C1604" s="363"/>
      <c r="D1604" s="363"/>
    </row>
    <row r="1605" spans="1:8" s="274" customFormat="1" ht="14.25">
      <c r="A1605" s="216" t="s">
        <v>13</v>
      </c>
      <c r="B1605" s="428"/>
      <c r="C1605" s="363"/>
      <c r="D1605" s="363"/>
      <c r="E1605"/>
      <c r="F1605"/>
      <c r="G1605"/>
      <c r="H1605"/>
    </row>
    <row r="1606" spans="1:4" ht="14.25">
      <c r="A1606" s="216" t="s">
        <v>954</v>
      </c>
      <c r="B1606" s="428"/>
      <c r="C1606" s="363"/>
      <c r="D1606" s="363"/>
    </row>
    <row r="1607" spans="1:4" ht="15.75" thickBot="1">
      <c r="A1607" s="261" t="s">
        <v>497</v>
      </c>
      <c r="B1607" s="429"/>
      <c r="C1607" s="398"/>
      <c r="D1607" s="425">
        <f>D1604+D1603</f>
        <v>18</v>
      </c>
    </row>
    <row r="1608" spans="1:4" ht="15">
      <c r="A1608" s="262"/>
      <c r="B1608" s="385"/>
      <c r="C1608" s="685"/>
      <c r="D1608" s="685"/>
    </row>
    <row r="1609" spans="1:4" ht="14.25">
      <c r="A1609" s="359"/>
      <c r="B1609" s="357"/>
      <c r="C1609" s="407"/>
      <c r="D1609" s="407"/>
    </row>
    <row r="1610" spans="1:4" ht="15.75" thickBot="1">
      <c r="A1610" s="213" t="s">
        <v>707</v>
      </c>
      <c r="B1610" s="357"/>
      <c r="C1610" s="407"/>
      <c r="D1610" s="376"/>
    </row>
    <row r="1611" spans="1:8" s="448" customFormat="1" ht="15">
      <c r="A1611" s="442" t="s">
        <v>498</v>
      </c>
      <c r="B1611" s="460"/>
      <c r="C1611" s="443">
        <v>2002</v>
      </c>
      <c r="D1611" s="444">
        <v>2001</v>
      </c>
      <c r="E1611" s="445"/>
      <c r="F1611" s="445"/>
      <c r="G1611" s="445"/>
      <c r="H1611" s="445"/>
    </row>
    <row r="1612" spans="1:4" ht="14.25">
      <c r="A1612" s="216" t="s">
        <v>1058</v>
      </c>
      <c r="B1612" s="428"/>
      <c r="C1612" s="393">
        <f>-17660-1330+423-4630</f>
        <v>-23197</v>
      </c>
      <c r="D1612" s="519">
        <f>-2638-8834</f>
        <v>-11472</v>
      </c>
    </row>
    <row r="1613" spans="1:4" ht="14.25">
      <c r="A1613" s="216" t="s">
        <v>1059</v>
      </c>
      <c r="B1613" s="428"/>
      <c r="C1613" s="393"/>
      <c r="D1613" s="519"/>
    </row>
    <row r="1614" spans="1:4" ht="28.5">
      <c r="A1614" s="216" t="s">
        <v>1060</v>
      </c>
      <c r="B1614" s="428"/>
      <c r="C1614" s="514">
        <f>SUM(C1615:C1618)</f>
        <v>12717</v>
      </c>
      <c r="D1614" s="520">
        <f>D1615+D1616+D1617+D1618</f>
        <v>742</v>
      </c>
    </row>
    <row r="1615" spans="1:4" ht="14.25">
      <c r="A1615" s="216" t="s">
        <v>1057</v>
      </c>
      <c r="B1615" s="428"/>
      <c r="C1615" s="393">
        <v>10646</v>
      </c>
      <c r="D1615" s="519">
        <v>-3718</v>
      </c>
    </row>
    <row r="1616" spans="1:4" ht="14.25">
      <c r="A1616" s="216" t="s">
        <v>751</v>
      </c>
      <c r="B1616" s="428"/>
      <c r="C1616" s="393">
        <f>885+129+30</f>
        <v>1044</v>
      </c>
      <c r="D1616" s="519">
        <v>172</v>
      </c>
    </row>
    <row r="1617" spans="1:4" ht="14.25">
      <c r="A1617" s="216" t="s">
        <v>484</v>
      </c>
      <c r="B1617" s="428"/>
      <c r="C1617" s="393">
        <f>1437-376</f>
        <v>1061</v>
      </c>
      <c r="D1617" s="640">
        <v>3219</v>
      </c>
    </row>
    <row r="1618" spans="1:4" ht="14.25">
      <c r="A1618" s="216" t="s">
        <v>485</v>
      </c>
      <c r="B1618" s="428"/>
      <c r="C1618" s="393">
        <f>719-753</f>
        <v>-34</v>
      </c>
      <c r="D1618" s="393">
        <v>1069</v>
      </c>
    </row>
    <row r="1619" spans="1:5" ht="14.25">
      <c r="A1619" s="216" t="s">
        <v>1061</v>
      </c>
      <c r="B1619" s="428"/>
      <c r="C1619" s="393">
        <f>C1612+C1614</f>
        <v>-10480</v>
      </c>
      <c r="D1619" s="393">
        <f>D1612+D1614</f>
        <v>-10730</v>
      </c>
      <c r="E1619" s="631"/>
    </row>
    <row r="1620" spans="1:8" s="274" customFormat="1" ht="14.25">
      <c r="A1620" s="216" t="s">
        <v>417</v>
      </c>
      <c r="B1620" s="428"/>
      <c r="C1620" s="393">
        <f>127+14</f>
        <v>141</v>
      </c>
      <c r="D1620" s="519">
        <v>0</v>
      </c>
      <c r="E1620"/>
      <c r="F1620"/>
      <c r="G1620"/>
      <c r="H1620"/>
    </row>
    <row r="1621" spans="1:4" ht="14.25">
      <c r="A1621" s="216" t="s">
        <v>418</v>
      </c>
      <c r="B1621" s="428"/>
      <c r="C1621" s="393"/>
      <c r="D1621" s="519"/>
    </row>
    <row r="1622" spans="1:4" ht="28.5">
      <c r="A1622" s="216" t="s">
        <v>419</v>
      </c>
      <c r="B1622" s="428"/>
      <c r="C1622" s="393">
        <f>SUM(C1623:C1625)</f>
        <v>141</v>
      </c>
      <c r="D1622" s="519">
        <f>SUM(D1623:D1625)</f>
        <v>0</v>
      </c>
    </row>
    <row r="1623" spans="1:8" ht="14.25">
      <c r="A1623" s="216" t="s">
        <v>1046</v>
      </c>
      <c r="B1623" s="428"/>
      <c r="C1623" s="393">
        <f>127+14</f>
        <v>141</v>
      </c>
      <c r="D1623" s="519">
        <v>0</v>
      </c>
      <c r="E1623" s="274"/>
      <c r="F1623" s="274"/>
      <c r="G1623" s="274"/>
      <c r="H1623" s="274"/>
    </row>
    <row r="1624" spans="1:4" ht="14.25">
      <c r="A1624" s="216" t="s">
        <v>1047</v>
      </c>
      <c r="B1624" s="428"/>
      <c r="C1624" s="393"/>
      <c r="D1624" s="519"/>
    </row>
    <row r="1625" spans="1:5" ht="29.25" thickBot="1">
      <c r="A1625" s="259" t="s">
        <v>1048</v>
      </c>
      <c r="B1625" s="429"/>
      <c r="C1625" s="515"/>
      <c r="D1625" s="639"/>
      <c r="E1625" s="476"/>
    </row>
    <row r="1626" spans="1:4" ht="14.25">
      <c r="A1626" s="359"/>
      <c r="B1626" s="357"/>
      <c r="C1626" s="618"/>
      <c r="D1626" s="618"/>
    </row>
    <row r="1627" spans="1:4" ht="15.75" thickBot="1">
      <c r="A1627" s="213" t="s">
        <v>708</v>
      </c>
      <c r="B1627" s="357"/>
      <c r="C1627" s="376"/>
      <c r="D1627" s="376"/>
    </row>
    <row r="1628" spans="1:4" s="448" customFormat="1" ht="30">
      <c r="A1628" s="442" t="s">
        <v>1049</v>
      </c>
      <c r="B1628" s="460"/>
      <c r="C1628" s="443">
        <v>2002</v>
      </c>
      <c r="D1628" s="444">
        <v>2001</v>
      </c>
    </row>
    <row r="1629" spans="1:8" s="274" customFormat="1" ht="28.5">
      <c r="A1629" s="216" t="s">
        <v>1051</v>
      </c>
      <c r="B1629" s="428"/>
      <c r="C1629" s="393">
        <f>56-54-1190</f>
        <v>-1188</v>
      </c>
      <c r="D1629" s="364">
        <f>104+12</f>
        <v>116</v>
      </c>
      <c r="E1629"/>
      <c r="F1629"/>
      <c r="G1629"/>
      <c r="H1629"/>
    </row>
    <row r="1630" spans="1:4" ht="14.25">
      <c r="A1630" s="216" t="s">
        <v>1052</v>
      </c>
      <c r="B1630" s="428"/>
      <c r="C1630" s="363">
        <v>-51</v>
      </c>
      <c r="D1630" s="364"/>
    </row>
    <row r="1631" spans="1:4" ht="28.5">
      <c r="A1631" s="216" t="s">
        <v>1053</v>
      </c>
      <c r="B1631" s="428"/>
      <c r="C1631" s="366"/>
      <c r="D1631" s="367"/>
    </row>
    <row r="1632" spans="1:4" ht="42.75">
      <c r="A1632" s="216" t="s">
        <v>420</v>
      </c>
      <c r="B1632" s="428"/>
      <c r="C1632" s="366">
        <f>-618+8</f>
        <v>-610</v>
      </c>
      <c r="D1632" s="367"/>
    </row>
    <row r="1633" spans="1:4" ht="14.25">
      <c r="A1633" s="216" t="s">
        <v>421</v>
      </c>
      <c r="B1633" s="428"/>
      <c r="C1633" s="363"/>
      <c r="D1633" s="364"/>
    </row>
    <row r="1634" spans="1:4" ht="14.25">
      <c r="A1634" s="216" t="s">
        <v>954</v>
      </c>
      <c r="B1634" s="428"/>
      <c r="C1634" s="363"/>
      <c r="D1634" s="364"/>
    </row>
    <row r="1635" spans="1:5" ht="15.75" thickBot="1">
      <c r="A1635" s="261" t="s">
        <v>1050</v>
      </c>
      <c r="B1635" s="429"/>
      <c r="C1635" s="425">
        <f>C1629+C1632+C1630</f>
        <v>-1849</v>
      </c>
      <c r="D1635" s="465">
        <f>SUM(D1629:D1634)</f>
        <v>116</v>
      </c>
      <c r="E1635" s="476"/>
    </row>
    <row r="1636" spans="1:8" ht="14.25" customHeight="1">
      <c r="A1636" s="359"/>
      <c r="B1636" s="357"/>
      <c r="C1636" s="618"/>
      <c r="D1636" s="618"/>
      <c r="E1636" s="274"/>
      <c r="F1636" s="274"/>
      <c r="G1636" s="274"/>
      <c r="H1636" s="274"/>
    </row>
    <row r="1637" spans="1:4" ht="15.75" thickBot="1">
      <c r="A1637" s="213" t="s">
        <v>709</v>
      </c>
      <c r="B1637" s="357"/>
      <c r="C1637" s="376"/>
      <c r="D1637" s="376"/>
    </row>
    <row r="1638" spans="1:4" s="448" customFormat="1" ht="15">
      <c r="A1638" s="442" t="s">
        <v>422</v>
      </c>
      <c r="B1638" s="460"/>
      <c r="C1638" s="443">
        <v>2002</v>
      </c>
      <c r="D1638" s="444">
        <v>2001</v>
      </c>
    </row>
    <row r="1639" spans="1:4" ht="14.25">
      <c r="A1639" s="216" t="s">
        <v>423</v>
      </c>
      <c r="B1639" s="428"/>
      <c r="C1639" s="363"/>
      <c r="D1639" s="364"/>
    </row>
    <row r="1640" spans="1:4" ht="15" thickBot="1">
      <c r="A1640" s="259" t="s">
        <v>424</v>
      </c>
      <c r="B1640" s="429"/>
      <c r="C1640" s="395"/>
      <c r="D1640" s="396"/>
    </row>
    <row r="1641" spans="1:4" ht="14.25">
      <c r="A1641" s="359"/>
      <c r="B1641" s="357"/>
      <c r="C1641" s="376"/>
      <c r="D1641" s="376"/>
    </row>
    <row r="1642" spans="1:8" s="274" customFormat="1" ht="15.75" thickBot="1">
      <c r="A1642" s="213" t="s">
        <v>710</v>
      </c>
      <c r="B1642" s="357"/>
      <c r="C1642" s="376"/>
      <c r="D1642" s="376"/>
      <c r="E1642"/>
      <c r="F1642"/>
      <c r="G1642"/>
      <c r="H1642"/>
    </row>
    <row r="1643" spans="1:4" s="448" customFormat="1" ht="30">
      <c r="A1643" s="442" t="s">
        <v>425</v>
      </c>
      <c r="B1643" s="460"/>
      <c r="C1643" s="443">
        <v>2002</v>
      </c>
      <c r="D1643" s="444">
        <v>2001</v>
      </c>
    </row>
    <row r="1644" spans="1:4" ht="14.25">
      <c r="A1644" s="216" t="s">
        <v>426</v>
      </c>
      <c r="B1644" s="428"/>
      <c r="C1644" s="363"/>
      <c r="D1644" s="364"/>
    </row>
    <row r="1645" spans="1:4" ht="15" thickBot="1">
      <c r="A1645" s="259" t="s">
        <v>427</v>
      </c>
      <c r="B1645" s="429"/>
      <c r="C1645" s="395"/>
      <c r="D1645" s="396"/>
    </row>
    <row r="1646" spans="1:8" ht="14.25">
      <c r="A1646" s="260"/>
      <c r="B1646" s="385"/>
      <c r="C1646" s="386"/>
      <c r="D1646" s="386"/>
      <c r="E1646" s="274"/>
      <c r="F1646" s="274"/>
      <c r="G1646" s="274"/>
      <c r="H1646" s="274"/>
    </row>
    <row r="1647" spans="1:4" ht="14.25">
      <c r="A1647" s="359"/>
      <c r="B1647" s="357"/>
      <c r="C1647" s="376"/>
      <c r="D1647" s="376"/>
    </row>
    <row r="1648" spans="1:4" ht="15.75" thickBot="1">
      <c r="A1648" s="213" t="s">
        <v>1088</v>
      </c>
      <c r="B1648" s="357"/>
      <c r="C1648" s="407"/>
      <c r="D1648" s="376"/>
    </row>
    <row r="1649" spans="1:4" s="448" customFormat="1" ht="30">
      <c r="A1649" s="442" t="s">
        <v>429</v>
      </c>
      <c r="B1649" s="460"/>
      <c r="C1649" s="443">
        <v>2002</v>
      </c>
      <c r="D1649" s="444">
        <v>2001</v>
      </c>
    </row>
    <row r="1650" spans="1:4" ht="14.25">
      <c r="A1650" s="216"/>
      <c r="B1650" s="428"/>
      <c r="C1650" s="363"/>
      <c r="D1650" s="364"/>
    </row>
    <row r="1651" spans="1:8" ht="14.25">
      <c r="A1651" s="216"/>
      <c r="B1651" s="428"/>
      <c r="C1651" s="363"/>
      <c r="D1651" s="364"/>
      <c r="E1651" s="274"/>
      <c r="F1651" s="274"/>
      <c r="G1651" s="274"/>
      <c r="H1651" s="274"/>
    </row>
    <row r="1652" spans="1:8" s="274" customFormat="1" ht="14.25">
      <c r="A1652" s="216"/>
      <c r="B1652" s="428"/>
      <c r="C1652" s="363"/>
      <c r="D1652" s="364"/>
      <c r="E1652"/>
      <c r="F1652"/>
      <c r="G1652"/>
      <c r="H1652"/>
    </row>
    <row r="1653" spans="1:4" ht="14.25">
      <c r="A1653" s="216"/>
      <c r="B1653" s="428"/>
      <c r="C1653" s="363"/>
      <c r="D1653" s="364"/>
    </row>
    <row r="1654" spans="1:4" ht="14.25">
      <c r="A1654" s="216"/>
      <c r="B1654" s="428"/>
      <c r="C1654" s="363"/>
      <c r="D1654" s="364"/>
    </row>
    <row r="1655" spans="1:4" ht="14.25">
      <c r="A1655" s="216"/>
      <c r="B1655" s="428"/>
      <c r="C1655" s="363"/>
      <c r="D1655" s="364"/>
    </row>
    <row r="1656" spans="1:4" ht="14.25">
      <c r="A1656" s="216"/>
      <c r="B1656" s="428"/>
      <c r="C1656" s="363"/>
      <c r="D1656" s="364"/>
    </row>
    <row r="1657" spans="1:4" s="274" customFormat="1" ht="30.75" thickBot="1">
      <c r="A1657" s="261" t="s">
        <v>430</v>
      </c>
      <c r="B1657" s="429"/>
      <c r="C1657" s="398">
        <f>C1650</f>
        <v>0</v>
      </c>
      <c r="D1657" s="399"/>
    </row>
    <row r="1658" spans="1:4" ht="15">
      <c r="A1658" s="262"/>
      <c r="B1658" s="385"/>
      <c r="C1658" s="386"/>
      <c r="D1658" s="386"/>
    </row>
    <row r="1659" spans="1:4" ht="14.25">
      <c r="A1659" s="359"/>
      <c r="B1659" s="357"/>
      <c r="C1659" s="376"/>
      <c r="D1659" s="376"/>
    </row>
    <row r="1660" spans="1:4" ht="15.75" thickBot="1">
      <c r="A1660" s="213" t="s">
        <v>711</v>
      </c>
      <c r="B1660" s="357"/>
      <c r="C1660" s="376"/>
      <c r="D1660" s="376"/>
    </row>
    <row r="1661" spans="1:4" s="448" customFormat="1" ht="45">
      <c r="A1661" s="442" t="s">
        <v>432</v>
      </c>
      <c r="B1661" s="447"/>
      <c r="C1661" s="443">
        <v>2002</v>
      </c>
      <c r="D1661" s="444">
        <v>2001</v>
      </c>
    </row>
    <row r="1662" spans="1:4" ht="14.25">
      <c r="A1662" s="216" t="s">
        <v>433</v>
      </c>
      <c r="B1662" s="434"/>
      <c r="C1662" s="435"/>
      <c r="D1662" s="436"/>
    </row>
    <row r="1663" spans="1:8" s="274" customFormat="1" ht="14.25">
      <c r="A1663" s="216" t="s">
        <v>1085</v>
      </c>
      <c r="B1663" s="434"/>
      <c r="C1663" s="377"/>
      <c r="D1663" s="381"/>
      <c r="E1663"/>
      <c r="F1663"/>
      <c r="G1663"/>
      <c r="H1663"/>
    </row>
    <row r="1664" spans="1:4" ht="15" thickBot="1">
      <c r="A1664" s="259" t="s">
        <v>1086</v>
      </c>
      <c r="B1664" s="437"/>
      <c r="C1664" s="382"/>
      <c r="D1664" s="430"/>
    </row>
    <row r="1665" spans="1:4" ht="14.25">
      <c r="A1665" s="359"/>
      <c r="B1665" s="357"/>
      <c r="C1665" s="358"/>
      <c r="D1665" s="358"/>
    </row>
    <row r="1666" spans="1:4" ht="14.25">
      <c r="A1666" s="359"/>
      <c r="B1666" s="357"/>
      <c r="C1666" s="358"/>
      <c r="D1666" s="358"/>
    </row>
    <row r="1667" spans="1:4" ht="15">
      <c r="A1667" s="213" t="s">
        <v>712</v>
      </c>
      <c r="B1667" s="357"/>
      <c r="C1667" s="358"/>
      <c r="D1667" s="358"/>
    </row>
    <row r="1668" spans="1:4" ht="15">
      <c r="A1668" s="213" t="s">
        <v>974</v>
      </c>
      <c r="B1668" s="357"/>
      <c r="C1668" s="358"/>
      <c r="D1668" s="358"/>
    </row>
    <row r="1669" spans="1:8" ht="14.25">
      <c r="A1669" s="359"/>
      <c r="B1669" s="357"/>
      <c r="C1669" s="358"/>
      <c r="D1669" s="358"/>
      <c r="E1669" s="274"/>
      <c r="F1669" s="274"/>
      <c r="G1669" s="274"/>
      <c r="H1669" s="274"/>
    </row>
    <row r="1670" spans="1:4" ht="57">
      <c r="A1670" s="438" t="s">
        <v>1087</v>
      </c>
      <c r="B1670" s="357"/>
      <c r="C1670" s="358"/>
      <c r="D1670" s="358"/>
    </row>
    <row r="1671" spans="1:4" ht="14.25">
      <c r="A1671" s="359"/>
      <c r="B1671" s="357"/>
      <c r="C1671" s="358"/>
      <c r="D1671" s="358"/>
    </row>
    <row r="1672" spans="1:4" ht="15">
      <c r="A1672" s="213" t="s">
        <v>713</v>
      </c>
      <c r="B1672" s="357"/>
      <c r="C1672" s="358"/>
      <c r="D1672" s="358"/>
    </row>
    <row r="1673" spans="1:4" ht="15">
      <c r="A1673" s="213" t="s">
        <v>975</v>
      </c>
      <c r="B1673" s="357"/>
      <c r="C1673" s="358"/>
      <c r="D1673" s="358"/>
    </row>
    <row r="1674" spans="1:4" ht="7.5" customHeight="1">
      <c r="A1674" s="359"/>
      <c r="B1674" s="357"/>
      <c r="C1674" s="358"/>
      <c r="D1674" s="358"/>
    </row>
    <row r="1675" spans="1:8" s="274" customFormat="1" ht="71.25">
      <c r="A1675" s="427" t="s">
        <v>1090</v>
      </c>
      <c r="B1675" s="357"/>
      <c r="C1675" s="358"/>
      <c r="D1675" s="358"/>
      <c r="E1675"/>
      <c r="F1675"/>
      <c r="G1675"/>
      <c r="H1675"/>
    </row>
    <row r="1676" spans="1:4" ht="14.25">
      <c r="A1676" s="359"/>
      <c r="B1676" s="357"/>
      <c r="C1676" s="358"/>
      <c r="D1676" s="358"/>
    </row>
    <row r="1677" spans="1:4" ht="14.25">
      <c r="A1677" s="359"/>
      <c r="B1677" s="357"/>
      <c r="C1677" s="358"/>
      <c r="D1677" s="358"/>
    </row>
    <row r="1678" spans="1:4" ht="14.25">
      <c r="A1678" s="359"/>
      <c r="B1678" s="357"/>
      <c r="C1678" s="358"/>
      <c r="D1678" s="358"/>
    </row>
  </sheetData>
  <mergeCells count="3">
    <mergeCell ref="A503:D503"/>
    <mergeCell ref="A1381:B1381"/>
    <mergeCell ref="A1580:B1580"/>
  </mergeCells>
  <printOptions horizontalCentered="1"/>
  <pageMargins left="0.71" right="0.26" top="0.5905511811023623" bottom="0.5905511811023623" header="0.27" footer="0.11811023622047245"/>
  <pageSetup horizontalDpi="600" verticalDpi="600" orientation="portrait" paperSize="9" scale="68" r:id="rId1"/>
  <headerFooter alignWithMargins="0">
    <oddHeader>&amp;L&amp;9MCI Management&amp;10 Spółka Akcyjna&amp;CSA-RS 2002&amp;Rw tys. zł</oddHeader>
    <oddFooter>&amp;CKomisja Papierów Warościowych i Giełd</oddFooter>
  </headerFooter>
  <rowBreaks count="28" manualBreakCount="28">
    <brk id="59" max="255" man="1"/>
    <brk id="130" max="3" man="1"/>
    <brk id="204" max="3" man="1"/>
    <brk id="275" max="3" man="1"/>
    <brk id="333" max="3" man="1"/>
    <brk id="399" max="255" man="1"/>
    <brk id="474" max="3" man="1"/>
    <brk id="515" max="3" man="1"/>
    <brk id="588" max="3" man="1"/>
    <brk id="624" max="3" man="1"/>
    <brk id="682" max="3" man="1"/>
    <brk id="726" max="3" man="1"/>
    <brk id="785" max="3" man="1"/>
    <brk id="862" max="3" man="1"/>
    <brk id="929" max="3" man="1"/>
    <brk id="995" max="3" man="1"/>
    <brk id="1047" max="3" man="1"/>
    <brk id="1108" max="3" man="1"/>
    <brk id="1149" max="3" man="1"/>
    <brk id="1218" max="3" man="1"/>
    <brk id="1290" max="3" man="1"/>
    <brk id="1354" max="3" man="1"/>
    <brk id="1401" max="3" man="1"/>
    <brk id="1462" max="3" man="1"/>
    <brk id="1536" max="3" man="1"/>
    <brk id="1589" max="3" man="1"/>
    <brk id="1647" max="3" man="1"/>
    <brk id="1671" max="3" man="1"/>
  </rowBreaks>
</worksheet>
</file>

<file path=xl/worksheets/sheet4.xml><?xml version="1.0" encoding="utf-8"?>
<worksheet xmlns="http://schemas.openxmlformats.org/spreadsheetml/2006/main" xmlns:r="http://schemas.openxmlformats.org/officeDocument/2006/relationships">
  <dimension ref="A1:H698"/>
  <sheetViews>
    <sheetView zoomScale="70" zoomScaleNormal="70" workbookViewId="0" topLeftCell="A4">
      <pane xSplit="1" ySplit="5" topLeftCell="B9" activePane="bottomRight" state="frozen"/>
      <selection pane="topLeft" activeCell="A4" sqref="A4"/>
      <selection pane="topRight" activeCell="B4" sqref="B4"/>
      <selection pane="bottomLeft" activeCell="A6" sqref="A6"/>
      <selection pane="bottomRight" activeCell="A4" sqref="A4"/>
    </sheetView>
  </sheetViews>
  <sheetFormatPr defaultColWidth="9.00390625" defaultRowHeight="12.75"/>
  <cols>
    <col min="1" max="1" width="70.125" style="0" customWidth="1"/>
    <col min="2" max="3" width="17.75390625" style="0" customWidth="1"/>
    <col min="4" max="4" width="19.875" style="0" customWidth="1"/>
    <col min="5" max="5" width="20.25390625" style="0" customWidth="1"/>
    <col min="6" max="8" width="17.75390625" style="0" customWidth="1"/>
  </cols>
  <sheetData>
    <row r="1" spans="1:8" ht="16.5" thickBot="1">
      <c r="A1" s="105" t="s">
        <v>962</v>
      </c>
      <c r="B1" s="99"/>
      <c r="C1" s="99"/>
      <c r="D1" s="99"/>
      <c r="E1" s="99"/>
      <c r="F1" s="99"/>
      <c r="G1" s="99"/>
      <c r="H1" s="99"/>
    </row>
    <row r="2" spans="1:8" ht="15">
      <c r="A2" s="325" t="s">
        <v>622</v>
      </c>
      <c r="B2" s="17"/>
      <c r="C2" s="17"/>
      <c r="D2" s="17"/>
      <c r="E2" s="17"/>
      <c r="F2" s="17"/>
      <c r="G2" s="17"/>
      <c r="H2" s="18"/>
    </row>
    <row r="3" spans="1:8" s="5" customFormat="1" ht="15">
      <c r="A3" s="247"/>
      <c r="B3" s="707" t="s">
        <v>319</v>
      </c>
      <c r="C3" s="707" t="s">
        <v>320</v>
      </c>
      <c r="D3" s="708" t="s">
        <v>323</v>
      </c>
      <c r="E3" s="709"/>
      <c r="F3" s="707" t="s">
        <v>995</v>
      </c>
      <c r="G3" s="707" t="s">
        <v>996</v>
      </c>
      <c r="H3" s="248"/>
    </row>
    <row r="4" spans="1:8" s="713" customFormat="1" ht="15">
      <c r="A4" s="186"/>
      <c r="B4" s="710"/>
      <c r="C4" s="710"/>
      <c r="D4" s="710"/>
      <c r="E4" s="711"/>
      <c r="F4" s="710"/>
      <c r="G4" s="710"/>
      <c r="H4" s="712"/>
    </row>
    <row r="5" spans="1:8" s="713" customFormat="1" ht="15">
      <c r="A5" s="61" t="s">
        <v>962</v>
      </c>
      <c r="B5" s="710"/>
      <c r="C5" s="710"/>
      <c r="D5" s="710"/>
      <c r="E5" s="711"/>
      <c r="F5" s="710"/>
      <c r="G5" s="710"/>
      <c r="H5" s="712"/>
    </row>
    <row r="6" spans="1:8" s="713" customFormat="1" ht="15.75" thickBot="1">
      <c r="A6" s="186"/>
      <c r="B6" s="710"/>
      <c r="C6" s="710"/>
      <c r="D6" s="710"/>
      <c r="E6" s="711"/>
      <c r="F6" s="710"/>
      <c r="G6" s="710"/>
      <c r="H6" s="712"/>
    </row>
    <row r="7" spans="1:8" s="279" customFormat="1" ht="60">
      <c r="A7" s="714" t="s">
        <v>37</v>
      </c>
      <c r="B7" s="715" t="s">
        <v>321</v>
      </c>
      <c r="C7" s="715" t="s">
        <v>322</v>
      </c>
      <c r="D7" s="716" t="s">
        <v>407</v>
      </c>
      <c r="E7" s="717"/>
      <c r="F7" s="715" t="s">
        <v>1152</v>
      </c>
      <c r="G7" s="715" t="s">
        <v>1151</v>
      </c>
      <c r="H7" s="718" t="s">
        <v>543</v>
      </c>
    </row>
    <row r="8" spans="1:8" s="5" customFormat="1" ht="32.25" customHeight="1" thickBot="1">
      <c r="A8" s="723"/>
      <c r="B8" s="724"/>
      <c r="C8" s="724"/>
      <c r="D8" s="724"/>
      <c r="E8" s="725" t="s">
        <v>312</v>
      </c>
      <c r="F8" s="724"/>
      <c r="G8" s="724"/>
      <c r="H8" s="726"/>
    </row>
    <row r="9" spans="1:8" ht="14.25">
      <c r="A9" s="719" t="s">
        <v>963</v>
      </c>
      <c r="B9" s="720"/>
      <c r="C9" s="720"/>
      <c r="D9" s="721">
        <f>260</f>
        <v>260</v>
      </c>
      <c r="E9" s="721">
        <v>260</v>
      </c>
      <c r="F9" s="721">
        <f>56+378</f>
        <v>434</v>
      </c>
      <c r="G9" s="721"/>
      <c r="H9" s="722">
        <f>D9+F9</f>
        <v>694</v>
      </c>
    </row>
    <row r="10" spans="1:8" ht="14.25">
      <c r="A10" s="68" t="s">
        <v>964</v>
      </c>
      <c r="B10" s="267">
        <f aca="true" t="shared" si="0" ref="B10:H10">SUM(B11:B13)</f>
        <v>0</v>
      </c>
      <c r="C10" s="267">
        <f t="shared" si="0"/>
        <v>0</v>
      </c>
      <c r="D10" s="264">
        <f t="shared" si="0"/>
        <v>66</v>
      </c>
      <c r="E10" s="264">
        <f>SUM(E11:E13)</f>
        <v>66</v>
      </c>
      <c r="F10" s="264">
        <f>SUM(F11:F13)</f>
        <v>32</v>
      </c>
      <c r="G10" s="264">
        <f t="shared" si="0"/>
        <v>0</v>
      </c>
      <c r="H10" s="265">
        <f t="shared" si="0"/>
        <v>98</v>
      </c>
    </row>
    <row r="11" spans="1:8" ht="14.25">
      <c r="A11" s="68" t="s">
        <v>508</v>
      </c>
      <c r="B11" s="267"/>
      <c r="C11" s="267"/>
      <c r="D11" s="264">
        <v>19</v>
      </c>
      <c r="E11" s="264">
        <v>19</v>
      </c>
      <c r="F11" s="264">
        <v>29</v>
      </c>
      <c r="G11" s="264"/>
      <c r="H11" s="265">
        <f>D11+F11</f>
        <v>48</v>
      </c>
    </row>
    <row r="12" spans="1:8" ht="14.25">
      <c r="A12" s="68" t="s">
        <v>521</v>
      </c>
      <c r="B12" s="267"/>
      <c r="C12" s="267"/>
      <c r="D12" s="264">
        <v>47</v>
      </c>
      <c r="E12" s="264">
        <v>47</v>
      </c>
      <c r="F12" s="264">
        <v>3</v>
      </c>
      <c r="G12" s="264"/>
      <c r="H12" s="265">
        <f>SUM(E12:G12)</f>
        <v>50</v>
      </c>
    </row>
    <row r="13" spans="1:8" ht="14.25">
      <c r="A13" s="68" t="s">
        <v>954</v>
      </c>
      <c r="B13" s="267"/>
      <c r="C13" s="267"/>
      <c r="D13" s="264"/>
      <c r="E13" s="264"/>
      <c r="F13" s="264"/>
      <c r="G13" s="264"/>
      <c r="H13" s="265">
        <f aca="true" t="shared" si="1" ref="H13:H27">SUM(B13:G13)</f>
        <v>0</v>
      </c>
    </row>
    <row r="14" spans="1:8" ht="14.25">
      <c r="A14" s="68" t="s">
        <v>966</v>
      </c>
      <c r="B14" s="267">
        <f aca="true" t="shared" si="2" ref="B14:G14">SUM(B15:B17)</f>
        <v>0</v>
      </c>
      <c r="C14" s="267">
        <f t="shared" si="2"/>
        <v>0</v>
      </c>
      <c r="D14" s="264">
        <f t="shared" si="2"/>
        <v>0</v>
      </c>
      <c r="E14" s="264">
        <f>SUM(E15:E17)</f>
        <v>0</v>
      </c>
      <c r="F14" s="264">
        <f>SUM(F15:F17)</f>
        <v>2</v>
      </c>
      <c r="G14" s="264">
        <f t="shared" si="2"/>
        <v>0</v>
      </c>
      <c r="H14" s="265">
        <f t="shared" si="1"/>
        <v>2</v>
      </c>
    </row>
    <row r="15" spans="1:8" ht="14.25">
      <c r="A15" s="68" t="s">
        <v>150</v>
      </c>
      <c r="B15" s="267"/>
      <c r="C15" s="267"/>
      <c r="D15" s="264"/>
      <c r="E15" s="264"/>
      <c r="F15" s="264"/>
      <c r="G15" s="264"/>
      <c r="H15" s="265">
        <f t="shared" si="1"/>
        <v>0</v>
      </c>
    </row>
    <row r="16" spans="1:8" ht="14.25">
      <c r="A16" s="68" t="s">
        <v>152</v>
      </c>
      <c r="B16" s="267"/>
      <c r="C16" s="267"/>
      <c r="D16" s="264"/>
      <c r="E16" s="264"/>
      <c r="F16" s="264">
        <v>2</v>
      </c>
      <c r="G16" s="264"/>
      <c r="H16" s="265">
        <f t="shared" si="1"/>
        <v>2</v>
      </c>
    </row>
    <row r="17" spans="1:8" ht="14.25">
      <c r="A17" s="68" t="s">
        <v>954</v>
      </c>
      <c r="B17" s="267"/>
      <c r="C17" s="267"/>
      <c r="D17" s="264"/>
      <c r="E17" s="264"/>
      <c r="F17" s="264"/>
      <c r="G17" s="264"/>
      <c r="H17" s="265">
        <f t="shared" si="1"/>
        <v>0</v>
      </c>
    </row>
    <row r="18" spans="1:8" ht="14.25">
      <c r="A18" s="68" t="s">
        <v>967</v>
      </c>
      <c r="B18" s="267">
        <f aca="true" t="shared" si="3" ref="B18:G18">B9+B10-B14</f>
        <v>0</v>
      </c>
      <c r="C18" s="267">
        <f t="shared" si="3"/>
        <v>0</v>
      </c>
      <c r="D18" s="264">
        <f t="shared" si="3"/>
        <v>326</v>
      </c>
      <c r="E18" s="264">
        <f>E9+E10-E14</f>
        <v>326</v>
      </c>
      <c r="F18" s="264">
        <f>F9+F10-F14</f>
        <v>464</v>
      </c>
      <c r="G18" s="264">
        <f t="shared" si="3"/>
        <v>0</v>
      </c>
      <c r="H18" s="265">
        <f>H9+H10-H14</f>
        <v>790</v>
      </c>
    </row>
    <row r="19" spans="1:8" s="25" customFormat="1" ht="14.25">
      <c r="A19" s="68" t="s">
        <v>392</v>
      </c>
      <c r="B19" s="267"/>
      <c r="C19" s="267"/>
      <c r="D19" s="264">
        <f>87</f>
        <v>87</v>
      </c>
      <c r="E19" s="264">
        <v>87</v>
      </c>
      <c r="F19" s="264">
        <f>10+214</f>
        <v>224</v>
      </c>
      <c r="G19" s="264"/>
      <c r="H19" s="265">
        <f>F19+D19</f>
        <v>311</v>
      </c>
    </row>
    <row r="20" spans="1:8" ht="14.25">
      <c r="A20" s="68" t="s">
        <v>968</v>
      </c>
      <c r="B20" s="267">
        <f aca="true" t="shared" si="4" ref="B20:H20">B21-B22</f>
        <v>0</v>
      </c>
      <c r="C20" s="267">
        <f t="shared" si="4"/>
        <v>0</v>
      </c>
      <c r="D20" s="264">
        <f>D21-D22</f>
        <v>117</v>
      </c>
      <c r="E20" s="264">
        <f>E21-E22</f>
        <v>117</v>
      </c>
      <c r="F20" s="264">
        <f>F21-F22</f>
        <v>121</v>
      </c>
      <c r="G20" s="264">
        <f t="shared" si="4"/>
        <v>0</v>
      </c>
      <c r="H20" s="265">
        <f t="shared" si="4"/>
        <v>238</v>
      </c>
    </row>
    <row r="21" spans="1:8" ht="14.25">
      <c r="A21" s="68" t="s">
        <v>317</v>
      </c>
      <c r="B21" s="267"/>
      <c r="C21" s="267"/>
      <c r="D21" s="264">
        <f>10+101+6</f>
        <v>117</v>
      </c>
      <c r="E21" s="264">
        <f>111+6</f>
        <v>117</v>
      </c>
      <c r="F21" s="264">
        <f>17+4+76+24</f>
        <v>121</v>
      </c>
      <c r="G21" s="264"/>
      <c r="H21" s="265">
        <f>F21+D21</f>
        <v>238</v>
      </c>
    </row>
    <row r="22" spans="1:8" ht="14.25">
      <c r="A22" s="68" t="s">
        <v>151</v>
      </c>
      <c r="B22" s="267"/>
      <c r="C22" s="267"/>
      <c r="D22" s="264"/>
      <c r="E22" s="264"/>
      <c r="F22" s="264"/>
      <c r="G22" s="264"/>
      <c r="H22" s="265"/>
    </row>
    <row r="23" spans="1:8" ht="14.25">
      <c r="A23" s="68" t="s">
        <v>969</v>
      </c>
      <c r="B23" s="267">
        <f aca="true" t="shared" si="5" ref="B23:G23">B19+B20</f>
        <v>0</v>
      </c>
      <c r="C23" s="267">
        <f t="shared" si="5"/>
        <v>0</v>
      </c>
      <c r="D23" s="264">
        <f>D19+D20</f>
        <v>204</v>
      </c>
      <c r="E23" s="264">
        <f>E19+E20</f>
        <v>204</v>
      </c>
      <c r="F23" s="264">
        <f>F19+F20</f>
        <v>345</v>
      </c>
      <c r="G23" s="264">
        <f t="shared" si="5"/>
        <v>0</v>
      </c>
      <c r="H23" s="265">
        <f>H19+H20</f>
        <v>549</v>
      </c>
    </row>
    <row r="24" spans="1:8" ht="14.25">
      <c r="A24" s="68" t="s">
        <v>314</v>
      </c>
      <c r="B24" s="267">
        <f>B25-B26</f>
        <v>0</v>
      </c>
      <c r="C24" s="267"/>
      <c r="D24" s="264"/>
      <c r="E24" s="264"/>
      <c r="F24" s="264"/>
      <c r="G24" s="264"/>
      <c r="H24" s="265">
        <f t="shared" si="1"/>
        <v>0</v>
      </c>
    </row>
    <row r="25" spans="1:8" ht="14.25">
      <c r="A25" s="75" t="s">
        <v>317</v>
      </c>
      <c r="B25" s="267">
        <v>0</v>
      </c>
      <c r="C25" s="267"/>
      <c r="D25" s="264"/>
      <c r="E25" s="264"/>
      <c r="F25" s="264"/>
      <c r="G25" s="264"/>
      <c r="H25" s="265">
        <f t="shared" si="1"/>
        <v>0</v>
      </c>
    </row>
    <row r="26" spans="1:8" ht="14.25">
      <c r="A26" s="75" t="s">
        <v>318</v>
      </c>
      <c r="B26" s="267">
        <v>0</v>
      </c>
      <c r="C26" s="267"/>
      <c r="D26" s="264"/>
      <c r="E26" s="264"/>
      <c r="F26" s="264"/>
      <c r="G26" s="264"/>
      <c r="H26" s="265">
        <f t="shared" si="1"/>
        <v>0</v>
      </c>
    </row>
    <row r="27" spans="1:8" ht="14.25">
      <c r="A27" s="68" t="s">
        <v>315</v>
      </c>
      <c r="B27" s="334">
        <f aca="true" t="shared" si="6" ref="B27:G27">B24+B25-B26</f>
        <v>0</v>
      </c>
      <c r="C27" s="334">
        <f t="shared" si="6"/>
        <v>0</v>
      </c>
      <c r="D27" s="643">
        <f t="shared" si="6"/>
        <v>0</v>
      </c>
      <c r="E27" s="643">
        <f t="shared" si="6"/>
        <v>0</v>
      </c>
      <c r="F27" s="643">
        <f t="shared" si="6"/>
        <v>0</v>
      </c>
      <c r="G27" s="643">
        <f t="shared" si="6"/>
        <v>0</v>
      </c>
      <c r="H27" s="335">
        <f t="shared" si="1"/>
        <v>0</v>
      </c>
    </row>
    <row r="28" spans="1:8" ht="15" thickBot="1">
      <c r="A28" s="69" t="s">
        <v>316</v>
      </c>
      <c r="B28" s="332">
        <f aca="true" t="shared" si="7" ref="B28:G28">B18-B23-B27</f>
        <v>0</v>
      </c>
      <c r="C28" s="332">
        <f t="shared" si="7"/>
        <v>0</v>
      </c>
      <c r="D28" s="644">
        <f t="shared" si="7"/>
        <v>122</v>
      </c>
      <c r="E28" s="644">
        <f t="shared" si="7"/>
        <v>122</v>
      </c>
      <c r="F28" s="644">
        <f t="shared" si="7"/>
        <v>119</v>
      </c>
      <c r="G28" s="644">
        <f t="shared" si="7"/>
        <v>0</v>
      </c>
      <c r="H28" s="333">
        <f>H18-H23-H27</f>
        <v>241</v>
      </c>
    </row>
    <row r="29" spans="1:8" ht="15.75">
      <c r="A29" s="53"/>
      <c r="B29" s="30"/>
      <c r="C29" s="30"/>
      <c r="D29" s="645" t="s">
        <v>783</v>
      </c>
      <c r="E29" s="476" t="s">
        <v>783</v>
      </c>
      <c r="F29" s="476" t="s">
        <v>783</v>
      </c>
      <c r="H29" s="489" t="s">
        <v>783</v>
      </c>
    </row>
    <row r="30" spans="1:8" ht="15.75">
      <c r="A30" s="53"/>
      <c r="B30" s="52"/>
      <c r="C30" s="52"/>
      <c r="D30" s="516">
        <f>D9-D19</f>
        <v>173</v>
      </c>
      <c r="E30" s="516">
        <f>E9-E19</f>
        <v>173</v>
      </c>
      <c r="F30" s="516">
        <f>F9-F19</f>
        <v>210</v>
      </c>
      <c r="G30" s="516">
        <f>G9-G19</f>
        <v>0</v>
      </c>
      <c r="H30" s="516">
        <f>H9-H19</f>
        <v>383</v>
      </c>
    </row>
    <row r="31" spans="1:8" ht="15">
      <c r="A31" s="109"/>
      <c r="B31" s="110"/>
      <c r="C31" s="110"/>
      <c r="D31" s="645" t="s">
        <v>783</v>
      </c>
      <c r="E31" s="476" t="s">
        <v>783</v>
      </c>
      <c r="F31" s="476" t="s">
        <v>783</v>
      </c>
      <c r="H31" s="476" t="s">
        <v>783</v>
      </c>
    </row>
    <row r="32" spans="1:4" ht="15">
      <c r="A32" s="109"/>
      <c r="B32" s="110"/>
      <c r="C32" s="110"/>
      <c r="D32" s="30"/>
    </row>
    <row r="33" spans="1:4" ht="15">
      <c r="A33" s="109"/>
      <c r="B33" s="110"/>
      <c r="C33" s="110"/>
      <c r="D33" s="30"/>
    </row>
    <row r="34" spans="1:4" ht="15">
      <c r="A34" s="109"/>
      <c r="B34" s="110"/>
      <c r="C34" s="110"/>
      <c r="D34" s="30"/>
    </row>
    <row r="35" spans="1:4" ht="15">
      <c r="A35" s="109"/>
      <c r="B35" s="110"/>
      <c r="C35" s="110"/>
      <c r="D35" s="30"/>
    </row>
    <row r="36" spans="1:4" ht="15">
      <c r="A36" s="109"/>
      <c r="B36" s="110"/>
      <c r="C36" s="110"/>
      <c r="D36" s="30"/>
    </row>
    <row r="37" spans="1:4" ht="15">
      <c r="A37" s="109"/>
      <c r="B37" s="110"/>
      <c r="C37" s="110"/>
      <c r="D37" s="30"/>
    </row>
    <row r="38" spans="1:4" ht="15">
      <c r="A38" s="109"/>
      <c r="B38" s="110"/>
      <c r="C38" s="110"/>
      <c r="D38" s="30"/>
    </row>
    <row r="39" spans="1:4" ht="15">
      <c r="A39" s="109"/>
      <c r="B39" s="110"/>
      <c r="C39" s="110"/>
      <c r="D39" s="30"/>
    </row>
    <row r="40" spans="1:4" ht="12.75">
      <c r="A40" s="30"/>
      <c r="B40" s="30"/>
      <c r="C40" s="30"/>
      <c r="D40" s="30"/>
    </row>
    <row r="41" spans="1:4" ht="15.75">
      <c r="A41" s="53"/>
      <c r="B41" s="30"/>
      <c r="C41" s="30"/>
      <c r="D41" s="30"/>
    </row>
    <row r="42" spans="1:4" ht="15.75">
      <c r="A42" s="53"/>
      <c r="B42" s="52"/>
      <c r="C42" s="52"/>
      <c r="D42" s="52"/>
    </row>
    <row r="43" spans="1:4" ht="15">
      <c r="A43" s="109"/>
      <c r="B43" s="110"/>
      <c r="C43" s="110"/>
      <c r="D43" s="30"/>
    </row>
    <row r="44" spans="1:4" ht="15">
      <c r="A44" s="112"/>
      <c r="B44" s="110"/>
      <c r="C44" s="110"/>
      <c r="D44" s="30"/>
    </row>
    <row r="45" spans="1:4" ht="15">
      <c r="A45" s="109"/>
      <c r="B45" s="110"/>
      <c r="C45" s="110"/>
      <c r="D45" s="30"/>
    </row>
    <row r="46" spans="1:4" ht="15">
      <c r="A46" s="109"/>
      <c r="B46" s="110"/>
      <c r="C46" s="110"/>
      <c r="D46" s="30"/>
    </row>
    <row r="47" spans="1:4" ht="12.75">
      <c r="A47" s="30"/>
      <c r="B47" s="30"/>
      <c r="C47" s="30"/>
      <c r="D47" s="30"/>
    </row>
    <row r="48" spans="1:4" ht="15.75">
      <c r="A48" s="53"/>
      <c r="B48" s="30"/>
      <c r="C48" s="30"/>
      <c r="D48" s="30"/>
    </row>
    <row r="49" spans="1:4" ht="15.75">
      <c r="A49" s="53"/>
      <c r="B49" s="52"/>
      <c r="C49" s="52"/>
      <c r="D49" s="52"/>
    </row>
    <row r="50" spans="1:4" ht="15">
      <c r="A50" s="109"/>
      <c r="B50" s="110"/>
      <c r="C50" s="110"/>
      <c r="D50" s="30"/>
    </row>
    <row r="51" spans="1:4" ht="15">
      <c r="A51" s="109"/>
      <c r="B51" s="110"/>
      <c r="C51" s="110"/>
      <c r="D51" s="30"/>
    </row>
    <row r="52" spans="1:4" ht="15">
      <c r="A52" s="109"/>
      <c r="B52" s="110"/>
      <c r="C52" s="110"/>
      <c r="D52" s="30"/>
    </row>
    <row r="53" spans="1:4" ht="15">
      <c r="A53" s="109"/>
      <c r="B53" s="110"/>
      <c r="C53" s="110"/>
      <c r="D53" s="30"/>
    </row>
    <row r="54" spans="1:4" ht="12.75">
      <c r="A54" s="30"/>
      <c r="B54" s="30"/>
      <c r="C54" s="30"/>
      <c r="D54" s="30"/>
    </row>
    <row r="55" spans="1:4" ht="15.75">
      <c r="A55" s="53"/>
      <c r="B55" s="30"/>
      <c r="C55" s="30"/>
      <c r="D55" s="30"/>
    </row>
    <row r="56" spans="1:4" ht="15.75">
      <c r="A56" s="53"/>
      <c r="B56" s="52"/>
      <c r="C56" s="52"/>
      <c r="D56" s="52"/>
    </row>
    <row r="57" spans="1:4" ht="15">
      <c r="A57" s="109"/>
      <c r="B57" s="110"/>
      <c r="C57" s="110"/>
      <c r="D57" s="110"/>
    </row>
    <row r="58" spans="1:4" ht="15">
      <c r="A58" s="109"/>
      <c r="B58" s="110"/>
      <c r="C58" s="110"/>
      <c r="D58" s="110"/>
    </row>
    <row r="59" spans="1:4" ht="15">
      <c r="A59" s="109"/>
      <c r="B59" s="110"/>
      <c r="C59" s="110"/>
      <c r="D59" s="110"/>
    </row>
    <row r="60" spans="1:4" ht="15">
      <c r="A60" s="109"/>
      <c r="B60" s="110"/>
      <c r="C60" s="110"/>
      <c r="D60" s="110"/>
    </row>
    <row r="61" spans="1:4" ht="15">
      <c r="A61" s="109"/>
      <c r="B61" s="110"/>
      <c r="C61" s="110"/>
      <c r="D61" s="110"/>
    </row>
    <row r="62" spans="1:4" ht="15">
      <c r="A62" s="109"/>
      <c r="B62" s="110"/>
      <c r="C62" s="110"/>
      <c r="D62" s="110"/>
    </row>
    <row r="63" spans="1:4" ht="15">
      <c r="A63" s="109"/>
      <c r="B63" s="110"/>
      <c r="C63" s="110"/>
      <c r="D63" s="110"/>
    </row>
    <row r="64" spans="1:4" ht="15">
      <c r="A64" s="109"/>
      <c r="B64" s="110"/>
      <c r="C64" s="110"/>
      <c r="D64" s="110"/>
    </row>
    <row r="65" spans="1:4" ht="15">
      <c r="A65" s="109"/>
      <c r="B65" s="110"/>
      <c r="C65" s="110"/>
      <c r="D65" s="110"/>
    </row>
    <row r="66" spans="1:4" ht="15">
      <c r="A66" s="109"/>
      <c r="B66" s="110"/>
      <c r="C66" s="110"/>
      <c r="D66" s="110"/>
    </row>
    <row r="67" spans="1:4" ht="15">
      <c r="A67" s="109"/>
      <c r="B67" s="110"/>
      <c r="C67" s="110"/>
      <c r="D67" s="110"/>
    </row>
    <row r="68" spans="1:4" ht="15">
      <c r="A68" s="109"/>
      <c r="B68" s="110"/>
      <c r="C68" s="110"/>
      <c r="D68" s="110"/>
    </row>
    <row r="69" spans="1:4" ht="15">
      <c r="A69" s="109"/>
      <c r="B69" s="110"/>
      <c r="C69" s="110"/>
      <c r="D69" s="110"/>
    </row>
    <row r="70" spans="1:4" ht="15">
      <c r="A70" s="109"/>
      <c r="B70" s="110"/>
      <c r="C70" s="110"/>
      <c r="D70" s="110"/>
    </row>
    <row r="71" spans="1:4" ht="15">
      <c r="A71" s="109"/>
      <c r="B71" s="110"/>
      <c r="C71" s="110"/>
      <c r="D71" s="110"/>
    </row>
    <row r="72" spans="1:4" ht="15">
      <c r="A72" s="109"/>
      <c r="B72" s="110"/>
      <c r="C72" s="110"/>
      <c r="D72" s="110"/>
    </row>
    <row r="73" spans="1:4" ht="12.75">
      <c r="A73" s="30"/>
      <c r="B73" s="30"/>
      <c r="C73" s="30"/>
      <c r="D73" s="30"/>
    </row>
    <row r="74" spans="1:4" ht="15.75">
      <c r="A74" s="53"/>
      <c r="B74" s="30"/>
      <c r="C74" s="30"/>
      <c r="D74" s="30"/>
    </row>
    <row r="75" spans="1:4" ht="15.75">
      <c r="A75" s="53"/>
      <c r="B75" s="52"/>
      <c r="C75" s="52"/>
      <c r="D75" s="52"/>
    </row>
    <row r="76" spans="1:4" ht="15">
      <c r="A76" s="109"/>
      <c r="B76" s="110"/>
      <c r="C76" s="110"/>
      <c r="D76" s="110"/>
    </row>
    <row r="77" spans="1:4" ht="15">
      <c r="A77" s="109"/>
      <c r="B77" s="110"/>
      <c r="C77" s="110"/>
      <c r="D77" s="110"/>
    </row>
    <row r="78" spans="1:4" ht="15">
      <c r="A78" s="109"/>
      <c r="B78" s="110"/>
      <c r="C78" s="110"/>
      <c r="D78" s="110"/>
    </row>
    <row r="79" spans="1:4" ht="15">
      <c r="A79" s="109"/>
      <c r="B79" s="110"/>
      <c r="C79" s="110"/>
      <c r="D79" s="110"/>
    </row>
    <row r="80" spans="1:4" ht="15">
      <c r="A80" s="109"/>
      <c r="B80" s="110"/>
      <c r="C80" s="110"/>
      <c r="D80" s="110"/>
    </row>
    <row r="81" spans="1:4" ht="15">
      <c r="A81" s="109"/>
      <c r="B81" s="110"/>
      <c r="C81" s="110"/>
      <c r="D81" s="110"/>
    </row>
    <row r="82" spans="1:4" ht="15">
      <c r="A82" s="109"/>
      <c r="B82" s="110"/>
      <c r="C82" s="110"/>
      <c r="D82" s="110"/>
    </row>
    <row r="83" spans="1:4" ht="15">
      <c r="A83" s="109"/>
      <c r="B83" s="110"/>
      <c r="C83" s="110"/>
      <c r="D83" s="110"/>
    </row>
    <row r="84" spans="1:4" ht="12.75">
      <c r="A84" s="30"/>
      <c r="B84" s="30"/>
      <c r="C84" s="30"/>
      <c r="D84" s="30"/>
    </row>
    <row r="85" spans="1:4" ht="15.75">
      <c r="A85" s="53"/>
      <c r="B85" s="30"/>
      <c r="C85" s="30"/>
      <c r="D85" s="30"/>
    </row>
    <row r="86" spans="1:4" ht="12.75">
      <c r="A86" s="55"/>
      <c r="B86" s="52"/>
      <c r="C86" s="52"/>
      <c r="D86" s="52"/>
    </row>
    <row r="87" spans="1:4" ht="15">
      <c r="A87" s="109"/>
      <c r="B87" s="110"/>
      <c r="C87" s="110"/>
      <c r="D87" s="110"/>
    </row>
    <row r="88" spans="1:4" ht="15">
      <c r="A88" s="109"/>
      <c r="B88" s="110"/>
      <c r="C88" s="110"/>
      <c r="D88" s="110"/>
    </row>
    <row r="89" spans="1:4" ht="15">
      <c r="A89" s="109"/>
      <c r="B89" s="110"/>
      <c r="C89" s="110"/>
      <c r="D89" s="110"/>
    </row>
    <row r="90" spans="1:4" ht="15">
      <c r="A90" s="109"/>
      <c r="B90" s="110"/>
      <c r="C90" s="110"/>
      <c r="D90" s="110"/>
    </row>
    <row r="91" spans="1:4" ht="15">
      <c r="A91" s="109"/>
      <c r="B91" s="110"/>
      <c r="C91" s="110"/>
      <c r="D91" s="110"/>
    </row>
    <row r="92" spans="1:4" ht="15">
      <c r="A92" s="109"/>
      <c r="B92" s="110"/>
      <c r="C92" s="110"/>
      <c r="D92" s="110"/>
    </row>
    <row r="93" spans="1:4" ht="12.75">
      <c r="A93" s="30"/>
      <c r="B93" s="30"/>
      <c r="C93" s="30"/>
      <c r="D93" s="30"/>
    </row>
    <row r="94" spans="1:4" ht="15.75">
      <c r="A94" s="53"/>
      <c r="B94" s="30"/>
      <c r="C94" s="30"/>
      <c r="D94" s="30"/>
    </row>
    <row r="95" spans="1:4" ht="12.75">
      <c r="A95" s="55"/>
      <c r="B95" s="52"/>
      <c r="C95" s="52"/>
      <c r="D95" s="52"/>
    </row>
    <row r="96" spans="1:4" ht="15">
      <c r="A96" s="109"/>
      <c r="B96" s="110"/>
      <c r="C96" s="110"/>
      <c r="D96" s="110"/>
    </row>
    <row r="97" spans="1:4" ht="15">
      <c r="A97" s="109"/>
      <c r="B97" s="110"/>
      <c r="C97" s="110"/>
      <c r="D97" s="110"/>
    </row>
    <row r="98" spans="1:4" ht="15">
      <c r="A98" s="109"/>
      <c r="B98" s="110"/>
      <c r="C98" s="110"/>
      <c r="D98" s="110"/>
    </row>
    <row r="99" spans="1:4" ht="15">
      <c r="A99" s="109"/>
      <c r="B99" s="110"/>
      <c r="C99" s="110"/>
      <c r="D99" s="110"/>
    </row>
    <row r="100" spans="1:4" ht="15">
      <c r="A100" s="109"/>
      <c r="B100" s="110"/>
      <c r="C100" s="110"/>
      <c r="D100" s="110"/>
    </row>
    <row r="101" spans="1:4" ht="15">
      <c r="A101" s="109"/>
      <c r="B101" s="110"/>
      <c r="C101" s="110"/>
      <c r="D101" s="110"/>
    </row>
    <row r="102" spans="1:4" ht="15">
      <c r="A102" s="109"/>
      <c r="B102" s="110"/>
      <c r="C102" s="110"/>
      <c r="D102" s="110"/>
    </row>
    <row r="103" spans="1:4" ht="12.75">
      <c r="A103" s="30"/>
      <c r="B103" s="30"/>
      <c r="C103" s="30"/>
      <c r="D103" s="30"/>
    </row>
    <row r="104" spans="1:4" ht="15.75">
      <c r="A104" s="53"/>
      <c r="B104" s="30"/>
      <c r="C104" s="30"/>
      <c r="D104" s="30"/>
    </row>
    <row r="105" spans="1:4" ht="12.75">
      <c r="A105" s="55"/>
      <c r="B105" s="52"/>
      <c r="C105" s="52"/>
      <c r="D105" s="52"/>
    </row>
    <row r="106" spans="1:4" ht="15">
      <c r="A106" s="109"/>
      <c r="B106" s="110"/>
      <c r="C106" s="110"/>
      <c r="D106" s="110"/>
    </row>
    <row r="107" spans="1:4" ht="15">
      <c r="A107" s="109"/>
      <c r="B107" s="110"/>
      <c r="C107" s="110"/>
      <c r="D107" s="110"/>
    </row>
    <row r="108" spans="1:4" ht="15">
      <c r="A108" s="109"/>
      <c r="B108" s="110"/>
      <c r="C108" s="110"/>
      <c r="D108" s="110"/>
    </row>
    <row r="109" spans="1:4" ht="15">
      <c r="A109" s="109"/>
      <c r="B109" s="110"/>
      <c r="C109" s="110"/>
      <c r="D109" s="110"/>
    </row>
    <row r="110" spans="1:4" ht="15">
      <c r="A110" s="109"/>
      <c r="B110" s="110"/>
      <c r="C110" s="110"/>
      <c r="D110" s="110"/>
    </row>
    <row r="111" spans="1:4" ht="15">
      <c r="A111" s="109"/>
      <c r="B111" s="110"/>
      <c r="C111" s="110"/>
      <c r="D111" s="110"/>
    </row>
    <row r="112" spans="1:4" ht="15">
      <c r="A112" s="109"/>
      <c r="B112" s="110"/>
      <c r="C112" s="110"/>
      <c r="D112" s="110"/>
    </row>
    <row r="113" spans="1:4" ht="15">
      <c r="A113" s="109"/>
      <c r="B113" s="110"/>
      <c r="C113" s="110"/>
      <c r="D113" s="110"/>
    </row>
    <row r="114" spans="1:4" ht="12.75">
      <c r="A114" s="30"/>
      <c r="B114" s="30"/>
      <c r="C114" s="30"/>
      <c r="D114" s="30"/>
    </row>
    <row r="115" spans="1:4" ht="15.75">
      <c r="A115" s="53"/>
      <c r="B115" s="30"/>
      <c r="C115" s="30"/>
      <c r="D115" s="30"/>
    </row>
    <row r="116" spans="1:4" ht="12.75">
      <c r="A116" s="113"/>
      <c r="B116" s="52"/>
      <c r="C116" s="52"/>
      <c r="D116" s="52"/>
    </row>
    <row r="117" spans="1:4" ht="15">
      <c r="A117" s="109"/>
      <c r="B117" s="110"/>
      <c r="C117" s="110"/>
      <c r="D117" s="110"/>
    </row>
    <row r="118" spans="1:4" ht="15">
      <c r="A118" s="109"/>
      <c r="B118" s="110"/>
      <c r="C118" s="110"/>
      <c r="D118" s="110"/>
    </row>
    <row r="119" spans="1:4" ht="15">
      <c r="A119" s="109"/>
      <c r="B119" s="110"/>
      <c r="C119" s="110"/>
      <c r="D119" s="110"/>
    </row>
    <row r="120" spans="1:4" ht="15">
      <c r="A120" s="109"/>
      <c r="B120" s="110"/>
      <c r="C120" s="110"/>
      <c r="D120" s="110"/>
    </row>
    <row r="121" spans="1:4" ht="15">
      <c r="A121" s="109"/>
      <c r="B121" s="110"/>
      <c r="C121" s="110"/>
      <c r="D121" s="110"/>
    </row>
    <row r="122" spans="1:4" ht="15">
      <c r="A122" s="109"/>
      <c r="B122" s="110"/>
      <c r="C122" s="110"/>
      <c r="D122" s="110"/>
    </row>
    <row r="123" spans="1:4" ht="15">
      <c r="A123" s="109"/>
      <c r="B123" s="110"/>
      <c r="C123" s="110"/>
      <c r="D123" s="110"/>
    </row>
    <row r="124" spans="1:4" ht="15">
      <c r="A124" s="109"/>
      <c r="B124" s="110"/>
      <c r="C124" s="110"/>
      <c r="D124" s="110"/>
    </row>
    <row r="125" spans="1:4" ht="12.75">
      <c r="A125" s="30"/>
      <c r="B125" s="30"/>
      <c r="C125" s="30"/>
      <c r="D125" s="30"/>
    </row>
    <row r="126" spans="1:4" ht="15.75">
      <c r="A126" s="53"/>
      <c r="B126" s="30"/>
      <c r="C126" s="30"/>
      <c r="D126" s="30"/>
    </row>
    <row r="127" spans="1:4" ht="12.75">
      <c r="A127" s="55"/>
      <c r="B127" s="52"/>
      <c r="C127" s="52"/>
      <c r="D127" s="52"/>
    </row>
    <row r="128" spans="1:4" ht="15">
      <c r="A128" s="109"/>
      <c r="B128" s="30"/>
      <c r="C128" s="30"/>
      <c r="D128" s="30"/>
    </row>
    <row r="129" spans="1:4" ht="15">
      <c r="A129" s="109"/>
      <c r="B129" s="30"/>
      <c r="C129" s="30"/>
      <c r="D129" s="30"/>
    </row>
    <row r="130" spans="1:4" ht="15">
      <c r="A130" s="109"/>
      <c r="B130" s="30"/>
      <c r="C130" s="30"/>
      <c r="D130" s="30"/>
    </row>
    <row r="131" spans="1:4" ht="15">
      <c r="A131" s="109"/>
      <c r="B131" s="30"/>
      <c r="C131" s="30"/>
      <c r="D131" s="30"/>
    </row>
    <row r="132" spans="1:4" ht="15">
      <c r="A132" s="109"/>
      <c r="B132" s="30"/>
      <c r="C132" s="30"/>
      <c r="D132" s="30"/>
    </row>
    <row r="133" spans="1:4" ht="15">
      <c r="A133" s="109"/>
      <c r="B133" s="30"/>
      <c r="C133" s="30"/>
      <c r="D133" s="30"/>
    </row>
    <row r="134" spans="1:4" ht="15">
      <c r="A134" s="109"/>
      <c r="B134" s="30"/>
      <c r="C134" s="30"/>
      <c r="D134" s="30"/>
    </row>
    <row r="135" spans="1:4" ht="15">
      <c r="A135" s="109"/>
      <c r="B135" s="30"/>
      <c r="C135" s="30"/>
      <c r="D135" s="30"/>
    </row>
    <row r="136" spans="1:4" ht="15">
      <c r="A136" s="109"/>
      <c r="B136" s="30"/>
      <c r="C136" s="30"/>
      <c r="D136" s="30"/>
    </row>
    <row r="137" spans="1:4" ht="15">
      <c r="A137" s="109"/>
      <c r="B137" s="30"/>
      <c r="C137" s="30"/>
      <c r="D137" s="30"/>
    </row>
    <row r="138" spans="1:4" ht="15">
      <c r="A138" s="109"/>
      <c r="B138" s="30"/>
      <c r="C138" s="30"/>
      <c r="D138" s="30"/>
    </row>
    <row r="139" spans="1:4" ht="15">
      <c r="A139" s="109"/>
      <c r="B139" s="30"/>
      <c r="C139" s="30"/>
      <c r="D139" s="30"/>
    </row>
    <row r="140" spans="1:4" ht="15">
      <c r="A140" s="109"/>
      <c r="B140" s="30"/>
      <c r="C140" s="30"/>
      <c r="D140" s="30"/>
    </row>
    <row r="141" spans="1:4" ht="15">
      <c r="A141" s="109"/>
      <c r="B141" s="30"/>
      <c r="C141" s="30"/>
      <c r="D141" s="30"/>
    </row>
    <row r="142" spans="1:4" ht="15">
      <c r="A142" s="109"/>
      <c r="B142" s="30"/>
      <c r="C142" s="30"/>
      <c r="D142" s="30"/>
    </row>
    <row r="143" spans="1:4" ht="15">
      <c r="A143" s="109"/>
      <c r="B143" s="30"/>
      <c r="C143" s="30"/>
      <c r="D143" s="30"/>
    </row>
    <row r="144" spans="1:4" ht="15">
      <c r="A144" s="109"/>
      <c r="B144" s="30"/>
      <c r="C144" s="30"/>
      <c r="D144" s="30"/>
    </row>
    <row r="145" spans="1:4" ht="15">
      <c r="A145" s="109"/>
      <c r="B145" s="30"/>
      <c r="C145" s="30"/>
      <c r="D145" s="30"/>
    </row>
    <row r="146" spans="1:4" ht="15">
      <c r="A146" s="109"/>
      <c r="B146" s="30"/>
      <c r="C146" s="30"/>
      <c r="D146" s="30"/>
    </row>
    <row r="147" spans="1:4" ht="15">
      <c r="A147" s="109"/>
      <c r="B147" s="30"/>
      <c r="C147" s="30"/>
      <c r="D147" s="30"/>
    </row>
    <row r="148" spans="1:4" ht="15">
      <c r="A148" s="109"/>
      <c r="B148" s="30"/>
      <c r="C148" s="30"/>
      <c r="D148" s="30"/>
    </row>
    <row r="149" spans="1:4" ht="15">
      <c r="A149" s="109"/>
      <c r="B149" s="30"/>
      <c r="C149" s="30"/>
      <c r="D149" s="30"/>
    </row>
    <row r="150" spans="1:4" ht="15">
      <c r="A150" s="109"/>
      <c r="B150" s="30"/>
      <c r="C150" s="30"/>
      <c r="D150" s="30"/>
    </row>
    <row r="151" spans="1:4" ht="15">
      <c r="A151" s="109"/>
      <c r="B151" s="30"/>
      <c r="C151" s="30"/>
      <c r="D151" s="30"/>
    </row>
    <row r="152" spans="1:4" ht="15">
      <c r="A152" s="109"/>
      <c r="B152" s="30"/>
      <c r="C152" s="30"/>
      <c r="D152" s="30"/>
    </row>
    <row r="153" spans="1:4" ht="15">
      <c r="A153" s="109"/>
      <c r="B153" s="30"/>
      <c r="C153" s="30"/>
      <c r="D153" s="30"/>
    </row>
    <row r="154" spans="1:4" ht="15">
      <c r="A154" s="109"/>
      <c r="B154" s="30"/>
      <c r="C154" s="30"/>
      <c r="D154" s="30"/>
    </row>
    <row r="155" spans="1:4" ht="15">
      <c r="A155" s="109"/>
      <c r="B155" s="30"/>
      <c r="C155" s="30"/>
      <c r="D155" s="30"/>
    </row>
    <row r="156" spans="1:4" ht="15">
      <c r="A156" s="109"/>
      <c r="B156" s="30"/>
      <c r="C156" s="30"/>
      <c r="D156" s="30"/>
    </row>
    <row r="157" spans="1:4" ht="15">
      <c r="A157" s="109"/>
      <c r="B157" s="30"/>
      <c r="C157" s="30"/>
      <c r="D157" s="30"/>
    </row>
    <row r="158" spans="1:4" ht="15">
      <c r="A158" s="109"/>
      <c r="B158" s="30"/>
      <c r="C158" s="30"/>
      <c r="D158" s="30"/>
    </row>
    <row r="159" spans="1:4" ht="15">
      <c r="A159" s="109"/>
      <c r="B159" s="30"/>
      <c r="C159" s="30"/>
      <c r="D159" s="30"/>
    </row>
    <row r="160" spans="1:4" ht="15">
      <c r="A160" s="109"/>
      <c r="B160" s="30"/>
      <c r="C160" s="30"/>
      <c r="D160" s="30"/>
    </row>
    <row r="161" spans="1:4" ht="15">
      <c r="A161" s="109"/>
      <c r="B161" s="30"/>
      <c r="C161" s="30"/>
      <c r="D161" s="30"/>
    </row>
    <row r="162" spans="1:4" ht="15">
      <c r="A162" s="109"/>
      <c r="B162" s="30"/>
      <c r="C162" s="30"/>
      <c r="D162" s="30"/>
    </row>
    <row r="163" spans="1:4" ht="15">
      <c r="A163" s="109"/>
      <c r="B163" s="30"/>
      <c r="C163" s="30"/>
      <c r="D163" s="30"/>
    </row>
    <row r="164" spans="1:4" ht="15">
      <c r="A164" s="109"/>
      <c r="B164" s="30"/>
      <c r="C164" s="30"/>
      <c r="D164" s="30"/>
    </row>
    <row r="165" spans="1:4" ht="15">
      <c r="A165" s="109"/>
      <c r="B165" s="30"/>
      <c r="C165" s="30"/>
      <c r="D165" s="30"/>
    </row>
    <row r="166" spans="1:4" ht="15">
      <c r="A166" s="109"/>
      <c r="B166" s="30"/>
      <c r="C166" s="30"/>
      <c r="D166" s="30"/>
    </row>
    <row r="167" spans="1:4" ht="15">
      <c r="A167" s="109"/>
      <c r="B167" s="30"/>
      <c r="C167" s="30"/>
      <c r="D167" s="30"/>
    </row>
    <row r="168" spans="1:4" ht="15">
      <c r="A168" s="109"/>
      <c r="B168" s="30"/>
      <c r="C168" s="30"/>
      <c r="D168" s="30"/>
    </row>
    <row r="169" spans="1:4" ht="15">
      <c r="A169" s="109"/>
      <c r="B169" s="30"/>
      <c r="C169" s="30"/>
      <c r="D169" s="30"/>
    </row>
    <row r="170" spans="1:4" ht="15">
      <c r="A170" s="109"/>
      <c r="B170" s="30"/>
      <c r="C170" s="30"/>
      <c r="D170" s="30"/>
    </row>
    <row r="171" spans="1:4" ht="15">
      <c r="A171" s="109"/>
      <c r="B171" s="30"/>
      <c r="C171" s="30"/>
      <c r="D171" s="30"/>
    </row>
    <row r="172" spans="1:4" ht="15">
      <c r="A172" s="109"/>
      <c r="B172" s="30"/>
      <c r="C172" s="30"/>
      <c r="D172" s="30"/>
    </row>
    <row r="173" spans="1:4" ht="15">
      <c r="A173" s="109"/>
      <c r="B173" s="30"/>
      <c r="C173" s="30"/>
      <c r="D173" s="30"/>
    </row>
    <row r="174" spans="1:4" ht="15">
      <c r="A174" s="109"/>
      <c r="B174" s="30"/>
      <c r="C174" s="30"/>
      <c r="D174" s="30"/>
    </row>
    <row r="175" spans="1:4" ht="15">
      <c r="A175" s="109"/>
      <c r="B175" s="30"/>
      <c r="C175" s="30"/>
      <c r="D175" s="30"/>
    </row>
    <row r="176" spans="1:4" ht="15">
      <c r="A176" s="109"/>
      <c r="B176" s="30"/>
      <c r="C176" s="30"/>
      <c r="D176" s="30"/>
    </row>
    <row r="177" spans="1:4" ht="12.75">
      <c r="A177" s="30"/>
      <c r="B177" s="30"/>
      <c r="C177" s="30"/>
      <c r="D177" s="30"/>
    </row>
    <row r="178" spans="1:4" ht="15.75">
      <c r="A178" s="53"/>
      <c r="B178" s="30"/>
      <c r="C178" s="30"/>
      <c r="D178" s="30"/>
    </row>
    <row r="179" spans="1:4" ht="12.75">
      <c r="A179" s="114"/>
      <c r="B179" s="52"/>
      <c r="C179" s="52"/>
      <c r="D179" s="52"/>
    </row>
    <row r="180" spans="1:4" ht="15">
      <c r="A180" s="109"/>
      <c r="B180" s="110"/>
      <c r="C180" s="110"/>
      <c r="D180" s="110"/>
    </row>
    <row r="181" spans="1:4" ht="15">
      <c r="A181" s="109"/>
      <c r="B181" s="110"/>
      <c r="C181" s="110"/>
      <c r="D181" s="110"/>
    </row>
    <row r="182" spans="1:4" ht="15">
      <c r="A182" s="109"/>
      <c r="B182" s="110"/>
      <c r="C182" s="110"/>
      <c r="D182" s="110"/>
    </row>
    <row r="183" spans="1:4" ht="15">
      <c r="A183" s="109"/>
      <c r="B183" s="110"/>
      <c r="C183" s="110"/>
      <c r="D183" s="110"/>
    </row>
    <row r="184" spans="1:4" ht="15">
      <c r="A184" s="109"/>
      <c r="B184" s="110"/>
      <c r="C184" s="110"/>
      <c r="D184" s="110"/>
    </row>
    <row r="185" spans="1:4" ht="15">
      <c r="A185" s="109"/>
      <c r="B185" s="110"/>
      <c r="C185" s="110"/>
      <c r="D185" s="110"/>
    </row>
    <row r="186" spans="1:4" ht="15">
      <c r="A186" s="109"/>
      <c r="B186" s="110"/>
      <c r="C186" s="110"/>
      <c r="D186" s="110"/>
    </row>
    <row r="187" spans="1:4" ht="15">
      <c r="A187" s="109"/>
      <c r="B187" s="110"/>
      <c r="C187" s="110"/>
      <c r="D187" s="110"/>
    </row>
    <row r="188" spans="1:4" ht="12.75">
      <c r="A188" s="30"/>
      <c r="B188" s="30"/>
      <c r="C188" s="30"/>
      <c r="D188" s="30"/>
    </row>
    <row r="189" spans="1:4" ht="15.75">
      <c r="A189" s="53"/>
      <c r="B189" s="30"/>
      <c r="C189" s="30"/>
      <c r="D189" s="30"/>
    </row>
    <row r="190" spans="1:4" ht="12.75">
      <c r="A190" s="55"/>
      <c r="B190" s="52"/>
      <c r="C190" s="52"/>
      <c r="D190" s="52"/>
    </row>
    <row r="191" spans="1:4" ht="15">
      <c r="A191" s="109"/>
      <c r="B191" s="110"/>
      <c r="C191" s="110"/>
      <c r="D191" s="110"/>
    </row>
    <row r="192" spans="1:4" ht="15">
      <c r="A192" s="109"/>
      <c r="B192" s="110"/>
      <c r="C192" s="110"/>
      <c r="D192" s="110"/>
    </row>
    <row r="193" spans="1:4" ht="15">
      <c r="A193" s="109"/>
      <c r="B193" s="110"/>
      <c r="C193" s="110"/>
      <c r="D193" s="110"/>
    </row>
    <row r="194" spans="1:4" ht="15">
      <c r="A194" s="109"/>
      <c r="B194" s="110"/>
      <c r="C194" s="110"/>
      <c r="D194" s="110"/>
    </row>
    <row r="195" spans="1:4" ht="15">
      <c r="A195" s="109"/>
      <c r="B195" s="110"/>
      <c r="C195" s="110"/>
      <c r="D195" s="110"/>
    </row>
    <row r="196" spans="1:4" ht="15">
      <c r="A196" s="109"/>
      <c r="B196" s="110"/>
      <c r="C196" s="110"/>
      <c r="D196" s="110"/>
    </row>
    <row r="197" spans="1:4" ht="15">
      <c r="A197" s="109"/>
      <c r="B197" s="110"/>
      <c r="C197" s="110"/>
      <c r="D197" s="110"/>
    </row>
    <row r="198" spans="1:4" ht="15">
      <c r="A198" s="109"/>
      <c r="B198" s="110"/>
      <c r="C198" s="110"/>
      <c r="D198" s="110"/>
    </row>
    <row r="199" spans="1:4" ht="15">
      <c r="A199" s="109"/>
      <c r="B199" s="110"/>
      <c r="C199" s="110"/>
      <c r="D199" s="110"/>
    </row>
    <row r="200" spans="1:4" ht="15">
      <c r="A200" s="109"/>
      <c r="B200" s="110"/>
      <c r="C200" s="110"/>
      <c r="D200" s="110"/>
    </row>
    <row r="201" spans="1:4" ht="15">
      <c r="A201" s="109"/>
      <c r="B201" s="110"/>
      <c r="C201" s="110"/>
      <c r="D201" s="110"/>
    </row>
    <row r="202" spans="1:4" ht="12.75">
      <c r="A202" s="30"/>
      <c r="B202" s="30"/>
      <c r="C202" s="30"/>
      <c r="D202" s="30"/>
    </row>
    <row r="203" spans="1:4" ht="15.75">
      <c r="A203" s="53"/>
      <c r="B203" s="30"/>
      <c r="C203" s="30"/>
      <c r="D203" s="30"/>
    </row>
    <row r="204" spans="1:4" ht="12.75">
      <c r="A204" s="55"/>
      <c r="B204" s="52"/>
      <c r="C204" s="52"/>
      <c r="D204" s="52"/>
    </row>
    <row r="205" spans="1:4" ht="15">
      <c r="A205" s="109"/>
      <c r="B205" s="110"/>
      <c r="C205" s="110"/>
      <c r="D205" s="110"/>
    </row>
    <row r="206" spans="1:4" ht="15">
      <c r="A206" s="109"/>
      <c r="B206" s="110"/>
      <c r="C206" s="110"/>
      <c r="D206" s="110"/>
    </row>
    <row r="207" spans="1:4" ht="15">
      <c r="A207" s="109"/>
      <c r="B207" s="110"/>
      <c r="C207" s="110"/>
      <c r="D207" s="110"/>
    </row>
    <row r="208" spans="1:4" ht="15">
      <c r="A208" s="109"/>
      <c r="B208" s="110"/>
      <c r="C208" s="110"/>
      <c r="D208" s="110"/>
    </row>
    <row r="209" spans="1:4" ht="15">
      <c r="A209" s="109"/>
      <c r="B209" s="110"/>
      <c r="C209" s="110"/>
      <c r="D209" s="110"/>
    </row>
    <row r="210" spans="1:4" ht="15">
      <c r="A210" s="109"/>
      <c r="B210" s="110"/>
      <c r="C210" s="110"/>
      <c r="D210" s="110"/>
    </row>
    <row r="211" spans="1:4" ht="15">
      <c r="A211" s="109"/>
      <c r="B211" s="110"/>
      <c r="C211" s="110"/>
      <c r="D211" s="110"/>
    </row>
    <row r="212" spans="1:4" ht="15">
      <c r="A212" s="109"/>
      <c r="B212" s="110"/>
      <c r="C212" s="110"/>
      <c r="D212" s="110"/>
    </row>
    <row r="213" spans="1:4" ht="15">
      <c r="A213" s="109"/>
      <c r="B213" s="110"/>
      <c r="C213" s="110"/>
      <c r="D213" s="110"/>
    </row>
    <row r="214" spans="1:4" ht="15">
      <c r="A214" s="109"/>
      <c r="B214" s="110"/>
      <c r="C214" s="110"/>
      <c r="D214" s="110"/>
    </row>
    <row r="215" spans="1:4" ht="15">
      <c r="A215" s="109"/>
      <c r="B215" s="110"/>
      <c r="C215" s="110"/>
      <c r="D215" s="110"/>
    </row>
    <row r="216" spans="1:4" ht="12.75">
      <c r="A216" s="30"/>
      <c r="B216" s="30"/>
      <c r="C216" s="30"/>
      <c r="D216" s="30"/>
    </row>
    <row r="217" spans="1:4" ht="15.75">
      <c r="A217" s="53"/>
      <c r="B217" s="30"/>
      <c r="C217" s="30"/>
      <c r="D217" s="30"/>
    </row>
    <row r="218" spans="1:4" ht="12.75">
      <c r="A218" s="55"/>
      <c r="B218" s="52"/>
      <c r="C218" s="52"/>
      <c r="D218" s="52"/>
    </row>
    <row r="219" spans="1:4" ht="15">
      <c r="A219" s="109"/>
      <c r="B219" s="110"/>
      <c r="C219" s="110"/>
      <c r="D219" s="110"/>
    </row>
    <row r="220" spans="1:4" ht="15">
      <c r="A220" s="109"/>
      <c r="B220" s="110"/>
      <c r="C220" s="110"/>
      <c r="D220" s="110"/>
    </row>
    <row r="221" spans="1:4" ht="15">
      <c r="A221" s="109"/>
      <c r="B221" s="110"/>
      <c r="C221" s="110"/>
      <c r="D221" s="110"/>
    </row>
    <row r="222" spans="1:4" ht="15">
      <c r="A222" s="109"/>
      <c r="B222" s="110"/>
      <c r="C222" s="110"/>
      <c r="D222" s="110"/>
    </row>
    <row r="223" spans="1:4" ht="15">
      <c r="A223" s="109"/>
      <c r="B223" s="110"/>
      <c r="C223" s="110"/>
      <c r="D223" s="110"/>
    </row>
    <row r="224" spans="1:4" ht="15">
      <c r="A224" s="109"/>
      <c r="B224" s="110"/>
      <c r="C224" s="110"/>
      <c r="D224" s="110"/>
    </row>
    <row r="225" spans="1:4" ht="15">
      <c r="A225" s="109"/>
      <c r="B225" s="110"/>
      <c r="C225" s="110"/>
      <c r="D225" s="110"/>
    </row>
    <row r="226" spans="1:4" ht="15">
      <c r="A226" s="109"/>
      <c r="B226" s="110"/>
      <c r="C226" s="110"/>
      <c r="D226" s="110"/>
    </row>
    <row r="227" spans="1:4" ht="15">
      <c r="A227" s="109"/>
      <c r="B227" s="110"/>
      <c r="C227" s="110"/>
      <c r="D227" s="110"/>
    </row>
    <row r="228" spans="1:4" ht="15">
      <c r="A228" s="109"/>
      <c r="B228" s="110"/>
      <c r="C228" s="110"/>
      <c r="D228" s="110"/>
    </row>
    <row r="229" spans="1:4" ht="15">
      <c r="A229" s="109"/>
      <c r="B229" s="110"/>
      <c r="C229" s="110"/>
      <c r="D229" s="110"/>
    </row>
    <row r="230" spans="1:4" ht="12.75">
      <c r="A230" s="30"/>
      <c r="B230" s="30"/>
      <c r="C230" s="30"/>
      <c r="D230" s="30"/>
    </row>
    <row r="231" spans="1:4" ht="15.75">
      <c r="A231" s="53"/>
      <c r="B231" s="30"/>
      <c r="C231" s="30"/>
      <c r="D231" s="30"/>
    </row>
    <row r="232" spans="1:4" ht="12.75">
      <c r="A232" s="55"/>
      <c r="B232" s="52"/>
      <c r="C232" s="52"/>
      <c r="D232" s="52"/>
    </row>
    <row r="233" spans="1:4" ht="15">
      <c r="A233" s="109"/>
      <c r="B233" s="110"/>
      <c r="C233" s="110"/>
      <c r="D233" s="110"/>
    </row>
    <row r="234" spans="1:4" ht="15">
      <c r="A234" s="109"/>
      <c r="B234" s="110"/>
      <c r="C234" s="110"/>
      <c r="D234" s="110"/>
    </row>
    <row r="235" spans="1:4" ht="15">
      <c r="A235" s="109"/>
      <c r="B235" s="110"/>
      <c r="C235" s="110"/>
      <c r="D235" s="110"/>
    </row>
    <row r="236" spans="1:4" ht="15">
      <c r="A236" s="109"/>
      <c r="B236" s="110"/>
      <c r="C236" s="110"/>
      <c r="D236" s="110"/>
    </row>
    <row r="237" spans="1:4" ht="15">
      <c r="A237" s="109"/>
      <c r="B237" s="110"/>
      <c r="C237" s="110"/>
      <c r="D237" s="110"/>
    </row>
    <row r="238" spans="1:4" ht="15">
      <c r="A238" s="109"/>
      <c r="B238" s="110"/>
      <c r="C238" s="110"/>
      <c r="D238" s="110"/>
    </row>
    <row r="239" spans="1:4" ht="15">
      <c r="A239" s="109"/>
      <c r="B239" s="110"/>
      <c r="C239" s="110"/>
      <c r="D239" s="110"/>
    </row>
    <row r="240" spans="1:4" ht="15">
      <c r="A240" s="109"/>
      <c r="B240" s="110"/>
      <c r="C240" s="110"/>
      <c r="D240" s="110"/>
    </row>
    <row r="241" spans="1:4" ht="15">
      <c r="A241" s="109"/>
      <c r="B241" s="110"/>
      <c r="C241" s="110"/>
      <c r="D241" s="110"/>
    </row>
    <row r="242" spans="1:4" ht="15">
      <c r="A242" s="109"/>
      <c r="B242" s="110"/>
      <c r="C242" s="110"/>
      <c r="D242" s="110"/>
    </row>
    <row r="243" spans="1:4" ht="15">
      <c r="A243" s="109"/>
      <c r="B243" s="110"/>
      <c r="C243" s="110"/>
      <c r="D243" s="110"/>
    </row>
    <row r="244" spans="1:4" ht="12.75">
      <c r="A244" s="30"/>
      <c r="B244" s="30"/>
      <c r="C244" s="30"/>
      <c r="D244" s="30"/>
    </row>
    <row r="245" spans="1:4" ht="15.75">
      <c r="A245" s="53"/>
      <c r="B245" s="30"/>
      <c r="C245" s="30"/>
      <c r="D245" s="30"/>
    </row>
    <row r="246" spans="1:4" ht="12.75">
      <c r="A246" s="55"/>
      <c r="B246" s="52"/>
      <c r="C246" s="52"/>
      <c r="D246" s="52"/>
    </row>
    <row r="247" spans="1:4" ht="15">
      <c r="A247" s="109"/>
      <c r="B247" s="110"/>
      <c r="C247" s="110"/>
      <c r="D247" s="110"/>
    </row>
    <row r="248" spans="1:4" ht="15">
      <c r="A248" s="109"/>
      <c r="B248" s="110"/>
      <c r="C248" s="110"/>
      <c r="D248" s="110"/>
    </row>
    <row r="249" spans="1:4" ht="15">
      <c r="A249" s="109"/>
      <c r="B249" s="110"/>
      <c r="C249" s="110"/>
      <c r="D249" s="110"/>
    </row>
    <row r="250" spans="1:4" ht="15">
      <c r="A250" s="109"/>
      <c r="B250" s="110"/>
      <c r="C250" s="110"/>
      <c r="D250" s="110"/>
    </row>
    <row r="251" spans="1:4" ht="15">
      <c r="A251" s="109"/>
      <c r="B251" s="110"/>
      <c r="C251" s="110"/>
      <c r="D251" s="110"/>
    </row>
    <row r="252" spans="1:4" ht="15">
      <c r="A252" s="109"/>
      <c r="B252" s="110"/>
      <c r="C252" s="110"/>
      <c r="D252" s="110"/>
    </row>
    <row r="253" spans="1:4" ht="15">
      <c r="A253" s="109"/>
      <c r="B253" s="110"/>
      <c r="C253" s="110"/>
      <c r="D253" s="110"/>
    </row>
    <row r="254" spans="1:4" ht="15">
      <c r="A254" s="109"/>
      <c r="B254" s="110"/>
      <c r="C254" s="110"/>
      <c r="D254" s="110"/>
    </row>
    <row r="255" spans="1:4" ht="15">
      <c r="A255" s="109"/>
      <c r="B255" s="110"/>
      <c r="C255" s="110"/>
      <c r="D255" s="110"/>
    </row>
    <row r="256" spans="1:4" ht="15">
      <c r="A256" s="109"/>
      <c r="B256" s="110"/>
      <c r="C256" s="110"/>
      <c r="D256" s="110"/>
    </row>
    <row r="257" spans="1:4" ht="15">
      <c r="A257" s="109"/>
      <c r="B257" s="110"/>
      <c r="C257" s="110"/>
      <c r="D257" s="110"/>
    </row>
    <row r="258" spans="1:4" ht="12.75">
      <c r="A258" s="30"/>
      <c r="B258" s="30"/>
      <c r="C258" s="30"/>
      <c r="D258" s="30"/>
    </row>
    <row r="259" spans="1:4" ht="15.75">
      <c r="A259" s="53"/>
      <c r="B259" s="30"/>
      <c r="C259" s="30"/>
      <c r="D259" s="30"/>
    </row>
    <row r="260" spans="1:4" ht="12.75">
      <c r="A260" s="55"/>
      <c r="B260" s="52"/>
      <c r="C260" s="52"/>
      <c r="D260" s="52"/>
    </row>
    <row r="261" spans="1:4" ht="15">
      <c r="A261" s="109"/>
      <c r="B261" s="110"/>
      <c r="C261" s="110"/>
      <c r="D261" s="110"/>
    </row>
    <row r="262" spans="1:4" ht="15">
      <c r="A262" s="109"/>
      <c r="B262" s="110"/>
      <c r="C262" s="110"/>
      <c r="D262" s="110"/>
    </row>
    <row r="263" spans="1:4" ht="15">
      <c r="A263" s="109"/>
      <c r="B263" s="110"/>
      <c r="C263" s="110"/>
      <c r="D263" s="110"/>
    </row>
    <row r="264" spans="1:4" ht="15">
      <c r="A264" s="109"/>
      <c r="B264" s="110"/>
      <c r="C264" s="110"/>
      <c r="D264" s="110"/>
    </row>
    <row r="265" spans="1:4" ht="15">
      <c r="A265" s="109"/>
      <c r="B265" s="110"/>
      <c r="C265" s="110"/>
      <c r="D265" s="110"/>
    </row>
    <row r="266" spans="1:4" ht="15">
      <c r="A266" s="109"/>
      <c r="B266" s="110"/>
      <c r="C266" s="110"/>
      <c r="D266" s="110"/>
    </row>
    <row r="267" spans="1:4" ht="15">
      <c r="A267" s="109"/>
      <c r="B267" s="110"/>
      <c r="C267" s="110"/>
      <c r="D267" s="110"/>
    </row>
    <row r="268" spans="1:4" ht="15">
      <c r="A268" s="109"/>
      <c r="B268" s="110"/>
      <c r="C268" s="110"/>
      <c r="D268" s="110"/>
    </row>
    <row r="269" spans="1:4" ht="15">
      <c r="A269" s="109"/>
      <c r="B269" s="110"/>
      <c r="C269" s="110"/>
      <c r="D269" s="110"/>
    </row>
    <row r="270" spans="1:4" ht="15">
      <c r="A270" s="109"/>
      <c r="B270" s="110"/>
      <c r="C270" s="110"/>
      <c r="D270" s="110"/>
    </row>
    <row r="271" spans="1:4" ht="15">
      <c r="A271" s="109"/>
      <c r="B271" s="110"/>
      <c r="C271" s="110"/>
      <c r="D271" s="110"/>
    </row>
    <row r="272" spans="1:4" ht="12.75">
      <c r="A272" s="30"/>
      <c r="B272" s="30"/>
      <c r="C272" s="30"/>
      <c r="D272" s="30"/>
    </row>
    <row r="273" spans="1:4" ht="12.75">
      <c r="A273" s="97"/>
      <c r="B273" s="30"/>
      <c r="C273" s="30"/>
      <c r="D273" s="30"/>
    </row>
    <row r="274" spans="1:4" ht="12.75">
      <c r="A274" s="30"/>
      <c r="B274" s="30"/>
      <c r="C274" s="30"/>
      <c r="D274" s="30"/>
    </row>
    <row r="275" spans="1:4" ht="12.75">
      <c r="A275" s="97"/>
      <c r="B275" s="30"/>
      <c r="C275" s="30"/>
      <c r="D275" s="30"/>
    </row>
    <row r="276" spans="1:4" ht="12.75">
      <c r="A276" s="30"/>
      <c r="B276" s="30"/>
      <c r="C276" s="30"/>
      <c r="D276" s="30"/>
    </row>
    <row r="277" spans="1:4" ht="15.75">
      <c r="A277" s="53"/>
      <c r="B277" s="30"/>
      <c r="C277" s="30"/>
      <c r="D277" s="30"/>
    </row>
    <row r="278" spans="1:4" ht="12.75">
      <c r="A278" s="113"/>
      <c r="B278" s="52"/>
      <c r="C278" s="52"/>
      <c r="D278" s="52"/>
    </row>
    <row r="279" spans="1:4" ht="15">
      <c r="A279" s="109"/>
      <c r="B279" s="110"/>
      <c r="C279" s="110"/>
      <c r="D279" s="110"/>
    </row>
    <row r="280" spans="1:4" ht="15">
      <c r="A280" s="109"/>
      <c r="B280" s="110"/>
      <c r="C280" s="110"/>
      <c r="D280" s="110"/>
    </row>
    <row r="281" spans="1:4" ht="15">
      <c r="A281" s="109"/>
      <c r="B281" s="110"/>
      <c r="C281" s="110"/>
      <c r="D281" s="110"/>
    </row>
    <row r="282" spans="1:4" ht="15">
      <c r="A282" s="109"/>
      <c r="B282" s="110"/>
      <c r="C282" s="110"/>
      <c r="D282" s="110"/>
    </row>
    <row r="283" spans="1:4" ht="15">
      <c r="A283" s="109"/>
      <c r="B283" s="110"/>
      <c r="C283" s="110"/>
      <c r="D283" s="110"/>
    </row>
    <row r="284" spans="1:4" ht="15">
      <c r="A284" s="109"/>
      <c r="B284" s="110"/>
      <c r="C284" s="110"/>
      <c r="D284" s="110"/>
    </row>
    <row r="285" spans="1:4" ht="15">
      <c r="A285" s="109"/>
      <c r="B285" s="110"/>
      <c r="C285" s="110"/>
      <c r="D285" s="110"/>
    </row>
    <row r="286" spans="1:4" ht="15">
      <c r="A286" s="109"/>
      <c r="B286" s="110"/>
      <c r="C286" s="110"/>
      <c r="D286" s="110"/>
    </row>
    <row r="287" spans="1:4" ht="12.75">
      <c r="A287" s="30"/>
      <c r="B287" s="30"/>
      <c r="C287" s="30"/>
      <c r="D287" s="30"/>
    </row>
    <row r="288" spans="1:4" ht="15.75">
      <c r="A288" s="53"/>
      <c r="B288" s="30"/>
      <c r="C288" s="30"/>
      <c r="D288" s="30"/>
    </row>
    <row r="289" spans="1:4" ht="12.75">
      <c r="A289" s="115"/>
      <c r="B289" s="116"/>
      <c r="C289" s="116"/>
      <c r="D289" s="116"/>
    </row>
    <row r="290" spans="1:4" ht="15">
      <c r="A290" s="109"/>
      <c r="B290" s="110"/>
      <c r="C290" s="110"/>
      <c r="D290" s="110"/>
    </row>
    <row r="291" spans="1:4" ht="15">
      <c r="A291" s="109"/>
      <c r="B291" s="110"/>
      <c r="C291" s="110"/>
      <c r="D291" s="110"/>
    </row>
    <row r="292" spans="1:4" ht="15">
      <c r="A292" s="109"/>
      <c r="B292" s="110"/>
      <c r="C292" s="110"/>
      <c r="D292" s="110"/>
    </row>
    <row r="293" spans="1:4" ht="15">
      <c r="A293" s="109"/>
      <c r="B293" s="110"/>
      <c r="C293" s="110"/>
      <c r="D293" s="110"/>
    </row>
    <row r="294" spans="1:4" ht="15">
      <c r="A294" s="109"/>
      <c r="B294" s="110"/>
      <c r="C294" s="110"/>
      <c r="D294" s="110"/>
    </row>
    <row r="295" spans="1:4" ht="15">
      <c r="A295" s="109"/>
      <c r="B295" s="110"/>
      <c r="C295" s="110"/>
      <c r="D295" s="110"/>
    </row>
    <row r="296" spans="1:4" ht="15">
      <c r="A296" s="109"/>
      <c r="B296" s="110"/>
      <c r="C296" s="110"/>
      <c r="D296" s="110"/>
    </row>
    <row r="297" spans="1:4" ht="12.75">
      <c r="A297" s="30"/>
      <c r="B297" s="30"/>
      <c r="C297" s="30"/>
      <c r="D297" s="30"/>
    </row>
    <row r="298" spans="1:4" ht="15.75">
      <c r="A298" s="53"/>
      <c r="B298" s="30"/>
      <c r="C298" s="30"/>
      <c r="D298" s="30"/>
    </row>
    <row r="299" spans="1:4" ht="12.75">
      <c r="A299" s="115"/>
      <c r="B299" s="116"/>
      <c r="C299" s="116"/>
      <c r="D299" s="116"/>
    </row>
    <row r="300" spans="1:4" ht="15">
      <c r="A300" s="109"/>
      <c r="B300" s="110"/>
      <c r="C300" s="110"/>
      <c r="D300" s="110"/>
    </row>
    <row r="301" spans="1:4" ht="15">
      <c r="A301" s="109"/>
      <c r="B301" s="110"/>
      <c r="C301" s="110"/>
      <c r="D301" s="110"/>
    </row>
    <row r="302" spans="1:4" ht="15">
      <c r="A302" s="109"/>
      <c r="B302" s="110"/>
      <c r="C302" s="110"/>
      <c r="D302" s="110"/>
    </row>
    <row r="303" spans="1:4" ht="15">
      <c r="A303" s="109"/>
      <c r="B303" s="110"/>
      <c r="C303" s="110"/>
      <c r="D303" s="110"/>
    </row>
    <row r="304" spans="1:4" ht="15">
      <c r="A304" s="109"/>
      <c r="B304" s="110"/>
      <c r="C304" s="110"/>
      <c r="D304" s="110"/>
    </row>
    <row r="305" spans="1:4" ht="15">
      <c r="A305" s="109"/>
      <c r="B305" s="110"/>
      <c r="C305" s="110"/>
      <c r="D305" s="110"/>
    </row>
    <row r="306" spans="1:4" ht="15">
      <c r="A306" s="109"/>
      <c r="B306" s="110"/>
      <c r="C306" s="110"/>
      <c r="D306" s="110"/>
    </row>
    <row r="307" spans="1:4" ht="15">
      <c r="A307" s="109"/>
      <c r="B307" s="110"/>
      <c r="C307" s="110"/>
      <c r="D307" s="110"/>
    </row>
    <row r="308" spans="1:4" ht="15">
      <c r="A308" s="109"/>
      <c r="B308" s="110"/>
      <c r="C308" s="110"/>
      <c r="D308" s="110"/>
    </row>
    <row r="309" spans="1:4" ht="15">
      <c r="A309" s="109"/>
      <c r="B309" s="110"/>
      <c r="C309" s="110"/>
      <c r="D309" s="110"/>
    </row>
    <row r="310" spans="1:4" ht="15">
      <c r="A310" s="109"/>
      <c r="B310" s="110"/>
      <c r="C310" s="110"/>
      <c r="D310" s="110"/>
    </row>
    <row r="311" spans="1:4" ht="15">
      <c r="A311" s="109"/>
      <c r="B311" s="110"/>
      <c r="C311" s="110"/>
      <c r="D311" s="110"/>
    </row>
    <row r="312" spans="1:4" ht="15">
      <c r="A312" s="109"/>
      <c r="B312" s="110"/>
      <c r="C312" s="110"/>
      <c r="D312" s="110"/>
    </row>
    <row r="313" spans="1:4" ht="15">
      <c r="A313" s="109"/>
      <c r="B313" s="110"/>
      <c r="C313" s="110"/>
      <c r="D313" s="110"/>
    </row>
    <row r="314" spans="1:4" ht="15">
      <c r="A314" s="109"/>
      <c r="B314" s="110"/>
      <c r="C314" s="110"/>
      <c r="D314" s="110"/>
    </row>
    <row r="315" spans="1:4" ht="15">
      <c r="A315" s="109"/>
      <c r="B315" s="110"/>
      <c r="C315" s="110"/>
      <c r="D315" s="110"/>
    </row>
    <row r="316" spans="1:4" ht="15">
      <c r="A316" s="109"/>
      <c r="B316" s="110"/>
      <c r="C316" s="110"/>
      <c r="D316" s="110"/>
    </row>
    <row r="317" spans="1:4" ht="15">
      <c r="A317" s="109"/>
      <c r="B317" s="110"/>
      <c r="C317" s="110"/>
      <c r="D317" s="110"/>
    </row>
    <row r="318" spans="1:4" ht="15">
      <c r="A318" s="109"/>
      <c r="B318" s="110"/>
      <c r="C318" s="110"/>
      <c r="D318" s="110"/>
    </row>
    <row r="319" spans="1:4" ht="15">
      <c r="A319" s="109"/>
      <c r="B319" s="110"/>
      <c r="C319" s="110"/>
      <c r="D319" s="110"/>
    </row>
    <row r="320" spans="1:4" ht="15">
      <c r="A320" s="109"/>
      <c r="B320" s="110"/>
      <c r="C320" s="110"/>
      <c r="D320" s="110"/>
    </row>
    <row r="321" spans="1:4" ht="15">
      <c r="A321" s="109"/>
      <c r="B321" s="110"/>
      <c r="C321" s="110"/>
      <c r="D321" s="110"/>
    </row>
    <row r="322" spans="1:4" ht="15">
      <c r="A322" s="109"/>
      <c r="B322" s="110"/>
      <c r="C322" s="110"/>
      <c r="D322" s="110"/>
    </row>
    <row r="323" spans="1:4" ht="15">
      <c r="A323" s="109"/>
      <c r="B323" s="110"/>
      <c r="C323" s="110"/>
      <c r="D323" s="110"/>
    </row>
    <row r="324" spans="1:4" ht="15">
      <c r="A324" s="109"/>
      <c r="B324" s="110"/>
      <c r="C324" s="110"/>
      <c r="D324" s="110"/>
    </row>
    <row r="325" spans="1:4" ht="15">
      <c r="A325" s="109"/>
      <c r="B325" s="110"/>
      <c r="C325" s="110"/>
      <c r="D325" s="110"/>
    </row>
    <row r="326" spans="1:4" ht="15">
      <c r="A326" s="109"/>
      <c r="B326" s="110"/>
      <c r="C326" s="110"/>
      <c r="D326" s="110"/>
    </row>
    <row r="327" spans="1:4" ht="15">
      <c r="A327" s="109"/>
      <c r="B327" s="110"/>
      <c r="C327" s="110"/>
      <c r="D327" s="110"/>
    </row>
    <row r="328" spans="1:4" ht="15">
      <c r="A328" s="109"/>
      <c r="B328" s="110"/>
      <c r="C328" s="110"/>
      <c r="D328" s="110"/>
    </row>
    <row r="329" spans="1:4" ht="15">
      <c r="A329" s="109"/>
      <c r="B329" s="110"/>
      <c r="C329" s="110"/>
      <c r="D329" s="110"/>
    </row>
    <row r="330" spans="1:4" ht="15">
      <c r="A330" s="109"/>
      <c r="B330" s="110"/>
      <c r="C330" s="110"/>
      <c r="D330" s="110"/>
    </row>
    <row r="331" spans="1:4" ht="15">
      <c r="A331" s="109"/>
      <c r="B331" s="110"/>
      <c r="C331" s="110"/>
      <c r="D331" s="110"/>
    </row>
    <row r="332" spans="1:4" ht="15">
      <c r="A332" s="109"/>
      <c r="B332" s="110"/>
      <c r="C332" s="110"/>
      <c r="D332" s="110"/>
    </row>
    <row r="333" spans="1:4" ht="15">
      <c r="A333" s="109"/>
      <c r="B333" s="110"/>
      <c r="C333" s="110"/>
      <c r="D333" s="110"/>
    </row>
    <row r="334" spans="1:4" ht="15">
      <c r="A334" s="109"/>
      <c r="B334" s="110"/>
      <c r="C334" s="110"/>
      <c r="D334" s="110"/>
    </row>
    <row r="335" spans="1:4" ht="15">
      <c r="A335" s="109"/>
      <c r="B335" s="110"/>
      <c r="C335" s="110"/>
      <c r="D335" s="110"/>
    </row>
    <row r="336" spans="1:4" ht="15">
      <c r="A336" s="109"/>
      <c r="B336" s="110"/>
      <c r="C336" s="110"/>
      <c r="D336" s="110"/>
    </row>
    <row r="337" spans="1:4" ht="15">
      <c r="A337" s="109"/>
      <c r="B337" s="110"/>
      <c r="C337" s="110"/>
      <c r="D337" s="110"/>
    </row>
    <row r="338" spans="1:4" ht="15">
      <c r="A338" s="109"/>
      <c r="B338" s="110"/>
      <c r="C338" s="110"/>
      <c r="D338" s="110"/>
    </row>
    <row r="339" spans="1:4" ht="15">
      <c r="A339" s="109"/>
      <c r="B339" s="110"/>
      <c r="C339" s="110"/>
      <c r="D339" s="110"/>
    </row>
    <row r="340" spans="1:4" ht="15">
      <c r="A340" s="109"/>
      <c r="B340" s="110"/>
      <c r="C340" s="110"/>
      <c r="D340" s="110"/>
    </row>
    <row r="341" spans="1:4" ht="15">
      <c r="A341" s="109"/>
      <c r="B341" s="110"/>
      <c r="C341" s="110"/>
      <c r="D341" s="110"/>
    </row>
    <row r="342" spans="1:4" ht="15">
      <c r="A342" s="109"/>
      <c r="B342" s="110"/>
      <c r="C342" s="110"/>
      <c r="D342" s="110"/>
    </row>
    <row r="343" spans="1:4" ht="15">
      <c r="A343" s="109"/>
      <c r="B343" s="110"/>
      <c r="C343" s="110"/>
      <c r="D343" s="110"/>
    </row>
    <row r="344" spans="1:4" ht="15">
      <c r="A344" s="109"/>
      <c r="B344" s="110"/>
      <c r="C344" s="110"/>
      <c r="D344" s="110"/>
    </row>
    <row r="345" spans="1:4" ht="15">
      <c r="A345" s="109"/>
      <c r="B345" s="110"/>
      <c r="C345" s="110"/>
      <c r="D345" s="110"/>
    </row>
    <row r="346" spans="1:4" ht="15">
      <c r="A346" s="109"/>
      <c r="B346" s="110"/>
      <c r="C346" s="110"/>
      <c r="D346" s="110"/>
    </row>
    <row r="347" spans="1:4" ht="15">
      <c r="A347" s="109"/>
      <c r="B347" s="110"/>
      <c r="C347" s="110"/>
      <c r="D347" s="110"/>
    </row>
    <row r="348" spans="1:4" ht="15">
      <c r="A348" s="109"/>
      <c r="B348" s="110"/>
      <c r="C348" s="110"/>
      <c r="D348" s="110"/>
    </row>
    <row r="349" spans="1:4" ht="15">
      <c r="A349" s="109"/>
      <c r="B349" s="110"/>
      <c r="C349" s="110"/>
      <c r="D349" s="110"/>
    </row>
    <row r="350" spans="1:4" ht="15">
      <c r="A350" s="109"/>
      <c r="B350" s="110"/>
      <c r="C350" s="110"/>
      <c r="D350" s="110"/>
    </row>
    <row r="351" spans="1:4" ht="15">
      <c r="A351" s="109"/>
      <c r="B351" s="110"/>
      <c r="C351" s="110"/>
      <c r="D351" s="110"/>
    </row>
    <row r="352" spans="1:4" ht="15">
      <c r="A352" s="109"/>
      <c r="B352" s="110"/>
      <c r="C352" s="110"/>
      <c r="D352" s="110"/>
    </row>
    <row r="353" spans="1:4" ht="15">
      <c r="A353" s="109"/>
      <c r="B353" s="110"/>
      <c r="C353" s="110"/>
      <c r="D353" s="110"/>
    </row>
    <row r="354" spans="1:4" ht="15">
      <c r="A354" s="109"/>
      <c r="B354" s="110"/>
      <c r="C354" s="110"/>
      <c r="D354" s="110"/>
    </row>
    <row r="355" spans="1:4" ht="15">
      <c r="A355" s="109"/>
      <c r="B355" s="110"/>
      <c r="C355" s="110"/>
      <c r="D355" s="110"/>
    </row>
    <row r="356" spans="1:4" ht="15">
      <c r="A356" s="109"/>
      <c r="B356" s="110"/>
      <c r="C356" s="110"/>
      <c r="D356" s="110"/>
    </row>
    <row r="357" spans="1:4" ht="15">
      <c r="A357" s="109"/>
      <c r="B357" s="110"/>
      <c r="C357" s="110"/>
      <c r="D357" s="110"/>
    </row>
    <row r="358" spans="1:4" ht="15">
      <c r="A358" s="109"/>
      <c r="B358" s="110"/>
      <c r="C358" s="110"/>
      <c r="D358" s="110"/>
    </row>
    <row r="359" spans="1:4" ht="15">
      <c r="A359" s="109"/>
      <c r="B359" s="110"/>
      <c r="C359" s="110"/>
      <c r="D359" s="110"/>
    </row>
    <row r="360" spans="1:4" ht="15">
      <c r="A360" s="109"/>
      <c r="B360" s="110"/>
      <c r="C360" s="110"/>
      <c r="D360" s="110"/>
    </row>
    <row r="361" spans="1:4" ht="15">
      <c r="A361" s="109"/>
      <c r="B361" s="110"/>
      <c r="C361" s="110"/>
      <c r="D361" s="110"/>
    </row>
    <row r="362" spans="1:4" ht="15">
      <c r="A362" s="109"/>
      <c r="B362" s="110"/>
      <c r="C362" s="110"/>
      <c r="D362" s="110"/>
    </row>
    <row r="363" spans="1:4" ht="15">
      <c r="A363" s="109"/>
      <c r="B363" s="110"/>
      <c r="C363" s="110"/>
      <c r="D363" s="110"/>
    </row>
    <row r="364" spans="1:4" ht="12.75">
      <c r="A364" s="30"/>
      <c r="B364" s="30"/>
      <c r="C364" s="30"/>
      <c r="D364" s="30"/>
    </row>
    <row r="365" spans="1:4" ht="15.75">
      <c r="A365" s="53"/>
      <c r="B365" s="30"/>
      <c r="C365" s="30"/>
      <c r="D365" s="30"/>
    </row>
    <row r="366" spans="1:4" ht="12.75">
      <c r="A366" s="113"/>
      <c r="B366" s="52"/>
      <c r="C366" s="52"/>
      <c r="D366" s="52"/>
    </row>
    <row r="367" spans="1:4" ht="15">
      <c r="A367" s="109"/>
      <c r="B367" s="110"/>
      <c r="C367" s="110"/>
      <c r="D367" s="110"/>
    </row>
    <row r="368" spans="1:4" ht="15">
      <c r="A368" s="109"/>
      <c r="B368" s="110"/>
      <c r="C368" s="110"/>
      <c r="D368" s="110"/>
    </row>
    <row r="369" spans="1:4" ht="15">
      <c r="A369" s="109"/>
      <c r="B369" s="110"/>
      <c r="C369" s="110"/>
      <c r="D369" s="110"/>
    </row>
    <row r="370" spans="1:4" ht="15">
      <c r="A370" s="109"/>
      <c r="B370" s="110"/>
      <c r="C370" s="110"/>
      <c r="D370" s="110"/>
    </row>
    <row r="371" spans="1:4" ht="15">
      <c r="A371" s="109"/>
      <c r="B371" s="110"/>
      <c r="C371" s="110"/>
      <c r="D371" s="110"/>
    </row>
    <row r="372" spans="1:4" ht="15">
      <c r="A372" s="109"/>
      <c r="B372" s="110"/>
      <c r="C372" s="110"/>
      <c r="D372" s="110"/>
    </row>
    <row r="373" spans="1:4" ht="15">
      <c r="A373" s="109"/>
      <c r="B373" s="110"/>
      <c r="C373" s="110"/>
      <c r="D373" s="110"/>
    </row>
    <row r="374" spans="1:4" ht="12.75">
      <c r="A374" s="30"/>
      <c r="B374" s="30"/>
      <c r="C374" s="30"/>
      <c r="D374" s="30"/>
    </row>
    <row r="375" spans="1:4" ht="15.75">
      <c r="A375" s="53"/>
      <c r="B375" s="30"/>
      <c r="C375" s="30"/>
      <c r="D375" s="30"/>
    </row>
    <row r="376" spans="1:4" ht="12.75">
      <c r="A376" s="113"/>
      <c r="B376" s="52"/>
      <c r="C376" s="52"/>
      <c r="D376" s="52"/>
    </row>
    <row r="377" spans="1:4" s="50" customFormat="1" ht="12.75">
      <c r="A377" s="113"/>
      <c r="B377" s="117"/>
      <c r="C377" s="117"/>
      <c r="D377" s="117"/>
    </row>
    <row r="378" spans="1:4" s="50" customFormat="1" ht="12.75">
      <c r="A378" s="113"/>
      <c r="B378" s="117"/>
      <c r="C378" s="117"/>
      <c r="D378" s="117"/>
    </row>
    <row r="379" spans="1:4" s="50" customFormat="1" ht="12.75">
      <c r="A379" s="113"/>
      <c r="B379" s="117"/>
      <c r="C379" s="117"/>
      <c r="D379" s="117"/>
    </row>
    <row r="380" spans="1:4" s="50" customFormat="1" ht="12.75">
      <c r="A380" s="113"/>
      <c r="B380" s="117"/>
      <c r="C380" s="117"/>
      <c r="D380" s="117"/>
    </row>
    <row r="381" spans="1:4" ht="12.75">
      <c r="A381" s="30"/>
      <c r="B381" s="111"/>
      <c r="C381" s="111"/>
      <c r="D381" s="111"/>
    </row>
    <row r="382" spans="1:4" ht="15">
      <c r="A382" s="109"/>
      <c r="B382" s="111"/>
      <c r="C382" s="111"/>
      <c r="D382" s="111"/>
    </row>
    <row r="383" spans="1:4" ht="12.75">
      <c r="A383" s="30"/>
      <c r="B383" s="30"/>
      <c r="C383" s="30"/>
      <c r="D383" s="30"/>
    </row>
    <row r="384" spans="1:4" ht="15.75">
      <c r="A384" s="53"/>
      <c r="B384" s="30"/>
      <c r="C384" s="30"/>
      <c r="D384" s="30"/>
    </row>
    <row r="385" spans="1:4" ht="12.75">
      <c r="A385" s="113"/>
      <c r="B385" s="52"/>
      <c r="C385" s="52"/>
      <c r="D385" s="52"/>
    </row>
    <row r="386" spans="1:4" ht="15">
      <c r="A386" s="109"/>
      <c r="B386" s="110"/>
      <c r="C386" s="110"/>
      <c r="D386" s="110"/>
    </row>
    <row r="387" spans="1:4" ht="15">
      <c r="A387" s="109"/>
      <c r="B387" s="110"/>
      <c r="C387" s="110"/>
      <c r="D387" s="110"/>
    </row>
    <row r="388" spans="1:4" ht="15">
      <c r="A388" s="109"/>
      <c r="B388" s="110"/>
      <c r="C388" s="110"/>
      <c r="D388" s="110"/>
    </row>
    <row r="389" spans="1:4" ht="15">
      <c r="A389" s="109"/>
      <c r="B389" s="110"/>
      <c r="C389" s="110"/>
      <c r="D389" s="110"/>
    </row>
    <row r="390" spans="1:4" ht="15">
      <c r="A390" s="109"/>
      <c r="B390" s="110"/>
      <c r="C390" s="110"/>
      <c r="D390" s="110"/>
    </row>
    <row r="391" spans="1:4" ht="15">
      <c r="A391" s="109"/>
      <c r="B391" s="110"/>
      <c r="C391" s="110"/>
      <c r="D391" s="110"/>
    </row>
    <row r="392" spans="1:4" ht="15">
      <c r="A392" s="109"/>
      <c r="B392" s="110"/>
      <c r="C392" s="110"/>
      <c r="D392" s="110"/>
    </row>
    <row r="393" spans="1:4" ht="15">
      <c r="A393" s="109"/>
      <c r="B393" s="110"/>
      <c r="C393" s="110"/>
      <c r="D393" s="110"/>
    </row>
    <row r="394" spans="1:4" ht="12.75">
      <c r="A394" s="30"/>
      <c r="B394" s="30"/>
      <c r="C394" s="30"/>
      <c r="D394" s="30"/>
    </row>
    <row r="395" spans="1:4" ht="15.75">
      <c r="A395" s="53"/>
      <c r="B395" s="30"/>
      <c r="C395" s="30"/>
      <c r="D395" s="30"/>
    </row>
    <row r="396" spans="1:4" ht="12.75">
      <c r="A396" s="113"/>
      <c r="B396" s="52"/>
      <c r="C396" s="52"/>
      <c r="D396" s="52"/>
    </row>
    <row r="397" spans="1:4" ht="15">
      <c r="A397" s="109"/>
      <c r="B397" s="110"/>
      <c r="C397" s="110"/>
      <c r="D397" s="110"/>
    </row>
    <row r="398" spans="1:4" ht="15">
      <c r="A398" s="109"/>
      <c r="B398" s="110"/>
      <c r="C398" s="110"/>
      <c r="D398" s="110"/>
    </row>
    <row r="399" spans="1:4" ht="15">
      <c r="A399" s="109"/>
      <c r="B399" s="110"/>
      <c r="C399" s="110"/>
      <c r="D399" s="110"/>
    </row>
    <row r="400" spans="1:4" ht="15">
      <c r="A400" s="109"/>
      <c r="B400" s="110"/>
      <c r="C400" s="110"/>
      <c r="D400" s="110"/>
    </row>
    <row r="401" spans="1:4" ht="15">
      <c r="A401" s="109"/>
      <c r="B401" s="110"/>
      <c r="C401" s="110"/>
      <c r="D401" s="110"/>
    </row>
    <row r="402" spans="1:4" ht="15">
      <c r="A402" s="109"/>
      <c r="B402" s="110"/>
      <c r="C402" s="110"/>
      <c r="D402" s="110"/>
    </row>
    <row r="403" spans="1:4" ht="15">
      <c r="A403" s="109"/>
      <c r="B403" s="110"/>
      <c r="C403" s="110"/>
      <c r="D403" s="110"/>
    </row>
    <row r="404" spans="1:4" ht="12.75">
      <c r="A404" s="30"/>
      <c r="B404" s="30"/>
      <c r="C404" s="30"/>
      <c r="D404" s="30"/>
    </row>
    <row r="405" spans="1:4" ht="12.75">
      <c r="A405" s="30"/>
      <c r="B405" s="30"/>
      <c r="C405" s="30"/>
      <c r="D405" s="30"/>
    </row>
    <row r="406" spans="1:4" ht="12.75">
      <c r="A406" s="30"/>
      <c r="B406" s="30"/>
      <c r="C406" s="30"/>
      <c r="D406" s="30"/>
    </row>
    <row r="407" spans="1:4" ht="12.75">
      <c r="A407" s="30"/>
      <c r="B407" s="30"/>
      <c r="C407" s="30"/>
      <c r="D407" s="30"/>
    </row>
    <row r="408" spans="1:4" ht="12.75">
      <c r="A408" s="30"/>
      <c r="B408" s="30"/>
      <c r="C408" s="30"/>
      <c r="D408" s="30"/>
    </row>
    <row r="409" spans="1:4" ht="12.75">
      <c r="A409" s="30"/>
      <c r="B409" s="30"/>
      <c r="C409" s="30"/>
      <c r="D409" s="30"/>
    </row>
    <row r="410" spans="1:4" ht="12.75">
      <c r="A410" s="30"/>
      <c r="B410" s="30"/>
      <c r="C410" s="30"/>
      <c r="D410" s="30"/>
    </row>
    <row r="411" spans="1:4" ht="12.75">
      <c r="A411" s="30"/>
      <c r="B411" s="30"/>
      <c r="C411" s="30"/>
      <c r="D411" s="30"/>
    </row>
    <row r="412" spans="1:4" ht="12.75">
      <c r="A412" s="30"/>
      <c r="B412" s="30"/>
      <c r="C412" s="30"/>
      <c r="D412" s="30"/>
    </row>
    <row r="413" spans="1:4" ht="12.75">
      <c r="A413" s="30"/>
      <c r="B413" s="30"/>
      <c r="C413" s="30"/>
      <c r="D413" s="30"/>
    </row>
    <row r="414" spans="1:4" ht="12.75">
      <c r="A414" s="30"/>
      <c r="B414" s="30"/>
      <c r="C414" s="30"/>
      <c r="D414" s="30"/>
    </row>
    <row r="415" spans="1:4" ht="12.75">
      <c r="A415" s="30"/>
      <c r="B415" s="30"/>
      <c r="C415" s="30"/>
      <c r="D415" s="30"/>
    </row>
    <row r="416" spans="1:4" ht="12.75">
      <c r="A416" s="30"/>
      <c r="B416" s="30"/>
      <c r="C416" s="30"/>
      <c r="D416" s="30"/>
    </row>
    <row r="417" spans="1:4" ht="12.75">
      <c r="A417" s="30"/>
      <c r="B417" s="30"/>
      <c r="C417" s="30"/>
      <c r="D417" s="30"/>
    </row>
    <row r="418" spans="1:4" ht="12.75">
      <c r="A418" s="30"/>
      <c r="B418" s="30"/>
      <c r="C418" s="30"/>
      <c r="D418" s="30"/>
    </row>
    <row r="419" spans="1:4" ht="12.75">
      <c r="A419" s="30"/>
      <c r="B419" s="30"/>
      <c r="C419" s="30"/>
      <c r="D419" s="30"/>
    </row>
    <row r="420" spans="1:4" ht="12.75">
      <c r="A420" s="30"/>
      <c r="B420" s="30"/>
      <c r="C420" s="30"/>
      <c r="D420" s="30"/>
    </row>
    <row r="421" spans="1:4" ht="12.75">
      <c r="A421" s="30"/>
      <c r="B421" s="30"/>
      <c r="C421" s="30"/>
      <c r="D421" s="30"/>
    </row>
    <row r="422" spans="1:4" ht="12.75">
      <c r="A422" s="30"/>
      <c r="B422" s="30"/>
      <c r="C422" s="30"/>
      <c r="D422" s="30"/>
    </row>
    <row r="423" spans="1:4" ht="12.75">
      <c r="A423" s="30"/>
      <c r="B423" s="30"/>
      <c r="C423" s="30"/>
      <c r="D423" s="30"/>
    </row>
    <row r="424" spans="1:4" ht="12.75">
      <c r="A424" s="30"/>
      <c r="B424" s="30"/>
      <c r="C424" s="30"/>
      <c r="D424" s="30"/>
    </row>
    <row r="425" spans="1:4" ht="12.75">
      <c r="A425" s="30"/>
      <c r="B425" s="30"/>
      <c r="C425" s="30"/>
      <c r="D425" s="30"/>
    </row>
    <row r="426" spans="1:4" ht="12.75">
      <c r="A426" s="30"/>
      <c r="B426" s="30"/>
      <c r="C426" s="30"/>
      <c r="D426" s="30"/>
    </row>
    <row r="427" spans="1:4" ht="12.75">
      <c r="A427" s="30"/>
      <c r="B427" s="30"/>
      <c r="C427" s="30"/>
      <c r="D427" s="30"/>
    </row>
    <row r="428" spans="1:4" ht="12.75">
      <c r="A428" s="30"/>
      <c r="B428" s="30"/>
      <c r="C428" s="30"/>
      <c r="D428" s="30"/>
    </row>
    <row r="429" spans="1:4" ht="12.75">
      <c r="A429" s="30"/>
      <c r="B429" s="30"/>
      <c r="C429" s="30"/>
      <c r="D429" s="30"/>
    </row>
    <row r="430" spans="1:4" ht="12.75">
      <c r="A430" s="30"/>
      <c r="B430" s="30"/>
      <c r="C430" s="30"/>
      <c r="D430" s="30"/>
    </row>
    <row r="431" spans="1:4" ht="12.75">
      <c r="A431" s="30"/>
      <c r="B431" s="30"/>
      <c r="C431" s="30"/>
      <c r="D431" s="30"/>
    </row>
    <row r="432" spans="1:4" ht="12.75">
      <c r="A432" s="30"/>
      <c r="B432" s="30"/>
      <c r="C432" s="30"/>
      <c r="D432" s="30"/>
    </row>
    <row r="433" spans="1:4" ht="12.75">
      <c r="A433" s="30"/>
      <c r="B433" s="30"/>
      <c r="C433" s="30"/>
      <c r="D433" s="30"/>
    </row>
    <row r="434" spans="1:4" ht="12.75">
      <c r="A434" s="30"/>
      <c r="B434" s="30"/>
      <c r="C434" s="30"/>
      <c r="D434" s="30"/>
    </row>
    <row r="435" spans="1:4" ht="12.75">
      <c r="A435" s="30"/>
      <c r="B435" s="30"/>
      <c r="C435" s="30"/>
      <c r="D435" s="30"/>
    </row>
    <row r="436" spans="1:4" ht="12.75">
      <c r="A436" s="30"/>
      <c r="B436" s="30"/>
      <c r="C436" s="30"/>
      <c r="D436" s="30"/>
    </row>
    <row r="437" spans="1:4" ht="12.75">
      <c r="A437" s="30"/>
      <c r="B437" s="30"/>
      <c r="C437" s="30"/>
      <c r="D437" s="30"/>
    </row>
    <row r="438" spans="1:4" ht="12.75">
      <c r="A438" s="30"/>
      <c r="B438" s="30"/>
      <c r="C438" s="30"/>
      <c r="D438" s="30"/>
    </row>
    <row r="439" spans="1:4" ht="12.75">
      <c r="A439" s="30"/>
      <c r="B439" s="30"/>
      <c r="C439" s="30"/>
      <c r="D439" s="30"/>
    </row>
    <row r="440" spans="1:4" ht="12.75">
      <c r="A440" s="30"/>
      <c r="B440" s="30"/>
      <c r="C440" s="30"/>
      <c r="D440" s="30"/>
    </row>
    <row r="441" spans="1:4" ht="12.75">
      <c r="A441" s="30"/>
      <c r="B441" s="30"/>
      <c r="C441" s="30"/>
      <c r="D441" s="30"/>
    </row>
    <row r="442" spans="1:4" ht="12.75">
      <c r="A442" s="30"/>
      <c r="B442" s="30"/>
      <c r="C442" s="30"/>
      <c r="D442" s="30"/>
    </row>
    <row r="443" spans="1:4" ht="12.75">
      <c r="A443" s="30"/>
      <c r="B443" s="30"/>
      <c r="C443" s="30"/>
      <c r="D443" s="30"/>
    </row>
    <row r="444" spans="1:4" ht="12.75">
      <c r="A444" s="30"/>
      <c r="B444" s="30"/>
      <c r="C444" s="30"/>
      <c r="D444" s="30"/>
    </row>
    <row r="445" spans="1:4" ht="12.75">
      <c r="A445" s="30"/>
      <c r="B445" s="30"/>
      <c r="C445" s="30"/>
      <c r="D445" s="30"/>
    </row>
    <row r="446" spans="1:4" ht="12.75">
      <c r="A446" s="30"/>
      <c r="B446" s="30"/>
      <c r="C446" s="30"/>
      <c r="D446" s="30"/>
    </row>
    <row r="447" spans="1:4" ht="12.75">
      <c r="A447" s="30"/>
      <c r="B447" s="30"/>
      <c r="C447" s="30"/>
      <c r="D447" s="30"/>
    </row>
    <row r="448" spans="1:4" ht="12.75">
      <c r="A448" s="30"/>
      <c r="B448" s="30"/>
      <c r="C448" s="30"/>
      <c r="D448" s="30"/>
    </row>
    <row r="449" spans="1:4" ht="12.75">
      <c r="A449" s="30"/>
      <c r="B449" s="30"/>
      <c r="C449" s="30"/>
      <c r="D449" s="30"/>
    </row>
    <row r="450" spans="1:4" ht="12.75">
      <c r="A450" s="30"/>
      <c r="B450" s="30"/>
      <c r="C450" s="30"/>
      <c r="D450" s="30"/>
    </row>
    <row r="451" spans="1:4" ht="12.75">
      <c r="A451" s="30"/>
      <c r="B451" s="30"/>
      <c r="C451" s="30"/>
      <c r="D451" s="30"/>
    </row>
    <row r="452" spans="1:4" ht="12.75">
      <c r="A452" s="30"/>
      <c r="B452" s="30"/>
      <c r="C452" s="30"/>
      <c r="D452" s="30"/>
    </row>
    <row r="453" spans="1:4" ht="12.75">
      <c r="A453" s="30"/>
      <c r="B453" s="30"/>
      <c r="C453" s="30"/>
      <c r="D453" s="30"/>
    </row>
    <row r="454" spans="1:4" ht="12.75">
      <c r="A454" s="30"/>
      <c r="B454" s="30"/>
      <c r="C454" s="30"/>
      <c r="D454" s="30"/>
    </row>
    <row r="455" spans="1:4" ht="12.75">
      <c r="A455" s="30"/>
      <c r="B455" s="30"/>
      <c r="C455" s="30"/>
      <c r="D455" s="30"/>
    </row>
    <row r="456" spans="1:4" ht="12.75">
      <c r="A456" s="30"/>
      <c r="B456" s="30"/>
      <c r="C456" s="30"/>
      <c r="D456" s="30"/>
    </row>
    <row r="457" spans="1:4" ht="12.75">
      <c r="A457" s="30"/>
      <c r="B457" s="30"/>
      <c r="C457" s="30"/>
      <c r="D457" s="30"/>
    </row>
    <row r="458" spans="1:4" ht="12.75">
      <c r="A458" s="30"/>
      <c r="B458" s="30"/>
      <c r="C458" s="30"/>
      <c r="D458" s="30"/>
    </row>
    <row r="459" spans="1:4" ht="12.75">
      <c r="A459" s="30"/>
      <c r="B459" s="30"/>
      <c r="C459" s="30"/>
      <c r="D459" s="30"/>
    </row>
    <row r="460" spans="1:4" ht="12.75">
      <c r="A460" s="30"/>
      <c r="B460" s="30"/>
      <c r="C460" s="30"/>
      <c r="D460" s="30"/>
    </row>
    <row r="461" spans="1:4" ht="12.75">
      <c r="A461" s="30"/>
      <c r="B461" s="30"/>
      <c r="C461" s="30"/>
      <c r="D461" s="30"/>
    </row>
    <row r="462" spans="1:4" ht="12.75">
      <c r="A462" s="30"/>
      <c r="B462" s="30"/>
      <c r="C462" s="30"/>
      <c r="D462" s="30"/>
    </row>
    <row r="463" spans="1:4" ht="12.75">
      <c r="A463" s="30"/>
      <c r="B463" s="30"/>
      <c r="C463" s="30"/>
      <c r="D463" s="30"/>
    </row>
    <row r="464" spans="1:4" ht="12.75">
      <c r="A464" s="30"/>
      <c r="B464" s="30"/>
      <c r="C464" s="30"/>
      <c r="D464" s="30"/>
    </row>
    <row r="465" spans="1:4" ht="12.75">
      <c r="A465" s="30"/>
      <c r="B465" s="30"/>
      <c r="C465" s="30"/>
      <c r="D465" s="30"/>
    </row>
    <row r="466" spans="1:4" ht="12.75">
      <c r="A466" s="30"/>
      <c r="B466" s="30"/>
      <c r="C466" s="30"/>
      <c r="D466" s="30"/>
    </row>
    <row r="467" spans="1:4" ht="12.75">
      <c r="A467" s="30"/>
      <c r="B467" s="30"/>
      <c r="C467" s="30"/>
      <c r="D467" s="30"/>
    </row>
    <row r="468" spans="1:4" ht="12.75">
      <c r="A468" s="30"/>
      <c r="B468" s="30"/>
      <c r="C468" s="30"/>
      <c r="D468" s="30"/>
    </row>
    <row r="469" spans="1:4" ht="12.75">
      <c r="A469" s="30"/>
      <c r="B469" s="30"/>
      <c r="C469" s="30"/>
      <c r="D469" s="30"/>
    </row>
    <row r="470" spans="1:4" ht="12.75">
      <c r="A470" s="30"/>
      <c r="B470" s="30"/>
      <c r="C470" s="30"/>
      <c r="D470" s="30"/>
    </row>
    <row r="471" spans="1:4" ht="12.75">
      <c r="A471" s="30"/>
      <c r="B471" s="30"/>
      <c r="C471" s="30"/>
      <c r="D471" s="30"/>
    </row>
    <row r="472" spans="1:4" ht="12.75">
      <c r="A472" s="30"/>
      <c r="B472" s="30"/>
      <c r="C472" s="30"/>
      <c r="D472" s="30"/>
    </row>
    <row r="473" spans="1:4" ht="12.75">
      <c r="A473" s="30"/>
      <c r="B473" s="30"/>
      <c r="C473" s="30"/>
      <c r="D473" s="30"/>
    </row>
    <row r="474" spans="1:4" ht="12.75">
      <c r="A474" s="30"/>
      <c r="B474" s="30"/>
      <c r="C474" s="30"/>
      <c r="D474" s="30"/>
    </row>
    <row r="475" spans="1:4" ht="12.75">
      <c r="A475" s="30"/>
      <c r="B475" s="30"/>
      <c r="C475" s="30"/>
      <c r="D475" s="30"/>
    </row>
    <row r="476" spans="1:4" ht="12.75">
      <c r="A476" s="30"/>
      <c r="B476" s="30"/>
      <c r="C476" s="30"/>
      <c r="D476" s="30"/>
    </row>
    <row r="477" spans="1:4" ht="12.75">
      <c r="A477" s="30"/>
      <c r="B477" s="30"/>
      <c r="C477" s="30"/>
      <c r="D477" s="30"/>
    </row>
    <row r="478" spans="1:4" ht="12.75">
      <c r="A478" s="30"/>
      <c r="B478" s="30"/>
      <c r="C478" s="30"/>
      <c r="D478" s="30"/>
    </row>
    <row r="479" spans="1:4" ht="12.75">
      <c r="A479" s="30"/>
      <c r="B479" s="30"/>
      <c r="C479" s="30"/>
      <c r="D479" s="30"/>
    </row>
    <row r="480" spans="1:4" ht="12.75">
      <c r="A480" s="30"/>
      <c r="B480" s="30"/>
      <c r="C480" s="30"/>
      <c r="D480" s="30"/>
    </row>
    <row r="481" spans="1:4" ht="12.75">
      <c r="A481" s="30"/>
      <c r="B481" s="30"/>
      <c r="C481" s="30"/>
      <c r="D481" s="30"/>
    </row>
    <row r="482" spans="1:4" ht="12.75">
      <c r="A482" s="30"/>
      <c r="B482" s="30"/>
      <c r="C482" s="30"/>
      <c r="D482" s="30"/>
    </row>
    <row r="483" spans="1:4" ht="12.75">
      <c r="A483" s="30"/>
      <c r="B483" s="30"/>
      <c r="C483" s="30"/>
      <c r="D483" s="30"/>
    </row>
    <row r="484" spans="1:4" ht="12.75">
      <c r="A484" s="30"/>
      <c r="B484" s="30"/>
      <c r="C484" s="30"/>
      <c r="D484" s="30"/>
    </row>
    <row r="485" spans="1:4" ht="12.75">
      <c r="A485" s="30"/>
      <c r="B485" s="30"/>
      <c r="C485" s="30"/>
      <c r="D485" s="30"/>
    </row>
    <row r="486" spans="1:4" ht="12.75">
      <c r="A486" s="30"/>
      <c r="B486" s="30"/>
      <c r="C486" s="30"/>
      <c r="D486" s="30"/>
    </row>
    <row r="487" spans="1:4" ht="12.75">
      <c r="A487" s="30"/>
      <c r="B487" s="30"/>
      <c r="C487" s="30"/>
      <c r="D487" s="30"/>
    </row>
    <row r="488" spans="1:4" ht="12.75">
      <c r="A488" s="30"/>
      <c r="B488" s="30"/>
      <c r="C488" s="30"/>
      <c r="D488" s="30"/>
    </row>
    <row r="489" spans="1:4" ht="12.75">
      <c r="A489" s="30"/>
      <c r="B489" s="30"/>
      <c r="C489" s="30"/>
      <c r="D489" s="30"/>
    </row>
    <row r="490" spans="1:4" ht="12.75">
      <c r="A490" s="30"/>
      <c r="B490" s="30"/>
      <c r="C490" s="30"/>
      <c r="D490" s="30"/>
    </row>
    <row r="491" spans="1:4" ht="12.75">
      <c r="A491" s="30"/>
      <c r="B491" s="30"/>
      <c r="C491" s="30"/>
      <c r="D491" s="30"/>
    </row>
    <row r="492" spans="1:4" ht="12.75">
      <c r="A492" s="30"/>
      <c r="B492" s="30"/>
      <c r="C492" s="30"/>
      <c r="D492" s="30"/>
    </row>
    <row r="493" spans="1:4" ht="12.75">
      <c r="A493" s="30"/>
      <c r="B493" s="30"/>
      <c r="C493" s="30"/>
      <c r="D493" s="30"/>
    </row>
    <row r="494" spans="1:4" ht="12.75">
      <c r="A494" s="30"/>
      <c r="B494" s="30"/>
      <c r="C494" s="30"/>
      <c r="D494" s="30"/>
    </row>
    <row r="495" spans="1:4" ht="12.75">
      <c r="A495" s="30"/>
      <c r="B495" s="30"/>
      <c r="C495" s="30"/>
      <c r="D495" s="30"/>
    </row>
    <row r="496" spans="1:4" ht="12.75">
      <c r="A496" s="30"/>
      <c r="B496" s="30"/>
      <c r="C496" s="30"/>
      <c r="D496" s="30"/>
    </row>
    <row r="497" spans="1:4" ht="12.75">
      <c r="A497" s="30"/>
      <c r="B497" s="30"/>
      <c r="C497" s="30"/>
      <c r="D497" s="30"/>
    </row>
    <row r="498" spans="1:4" ht="12.75">
      <c r="A498" s="30"/>
      <c r="B498" s="30"/>
      <c r="C498" s="30"/>
      <c r="D498" s="30"/>
    </row>
    <row r="499" spans="1:4" ht="12.75">
      <c r="A499" s="30"/>
      <c r="B499" s="30"/>
      <c r="C499" s="30"/>
      <c r="D499" s="30"/>
    </row>
    <row r="500" spans="1:4" ht="12.75">
      <c r="A500" s="30"/>
      <c r="B500" s="30"/>
      <c r="C500" s="30"/>
      <c r="D500" s="30"/>
    </row>
    <row r="501" spans="1:4" ht="12.75">
      <c r="A501" s="30"/>
      <c r="B501" s="30"/>
      <c r="C501" s="30"/>
      <c r="D501" s="30"/>
    </row>
    <row r="502" spans="1:4" ht="12.75">
      <c r="A502" s="30"/>
      <c r="B502" s="30"/>
      <c r="C502" s="30"/>
      <c r="D502" s="30"/>
    </row>
    <row r="503" spans="1:4" ht="12.75">
      <c r="A503" s="30"/>
      <c r="B503" s="30"/>
      <c r="C503" s="30"/>
      <c r="D503" s="30"/>
    </row>
    <row r="504" spans="1:4" ht="12.75">
      <c r="A504" s="30"/>
      <c r="B504" s="30"/>
      <c r="C504" s="30"/>
      <c r="D504" s="30"/>
    </row>
    <row r="505" spans="1:4" ht="12.75">
      <c r="A505" s="30"/>
      <c r="B505" s="30"/>
      <c r="C505" s="30"/>
      <c r="D505" s="30"/>
    </row>
    <row r="506" spans="1:4" ht="12.75">
      <c r="A506" s="30"/>
      <c r="B506" s="30"/>
      <c r="C506" s="30"/>
      <c r="D506" s="30"/>
    </row>
    <row r="507" spans="1:4" ht="12.75">
      <c r="A507" s="30"/>
      <c r="B507" s="30"/>
      <c r="C507" s="30"/>
      <c r="D507" s="30"/>
    </row>
    <row r="508" spans="1:4" ht="12.75">
      <c r="A508" s="30"/>
      <c r="B508" s="30"/>
      <c r="C508" s="30"/>
      <c r="D508" s="30"/>
    </row>
    <row r="509" spans="1:4" ht="12.75">
      <c r="A509" s="30"/>
      <c r="B509" s="30"/>
      <c r="C509" s="30"/>
      <c r="D509" s="30"/>
    </row>
    <row r="510" spans="1:4" ht="12.75">
      <c r="A510" s="30"/>
      <c r="B510" s="30"/>
      <c r="C510" s="30"/>
      <c r="D510" s="30"/>
    </row>
    <row r="511" spans="1:4" ht="12.75">
      <c r="A511" s="30"/>
      <c r="B511" s="30"/>
      <c r="C511" s="30"/>
      <c r="D511" s="30"/>
    </row>
    <row r="512" spans="1:4" ht="12.75">
      <c r="A512" s="30"/>
      <c r="B512" s="30"/>
      <c r="C512" s="30"/>
      <c r="D512" s="30"/>
    </row>
    <row r="513" spans="1:4" ht="12.75">
      <c r="A513" s="30"/>
      <c r="B513" s="30"/>
      <c r="C513" s="30"/>
      <c r="D513" s="30"/>
    </row>
    <row r="514" spans="1:4" ht="12.75">
      <c r="A514" s="30"/>
      <c r="B514" s="30"/>
      <c r="C514" s="30"/>
      <c r="D514" s="30"/>
    </row>
    <row r="515" spans="1:4" ht="12.75">
      <c r="A515" s="30"/>
      <c r="B515" s="30"/>
      <c r="C515" s="30"/>
      <c r="D515" s="30"/>
    </row>
    <row r="516" spans="1:4" ht="12.75">
      <c r="A516" s="30"/>
      <c r="B516" s="30"/>
      <c r="C516" s="30"/>
      <c r="D516" s="30"/>
    </row>
    <row r="517" spans="1:4" ht="12.75">
      <c r="A517" s="30"/>
      <c r="B517" s="30"/>
      <c r="C517" s="30"/>
      <c r="D517" s="30"/>
    </row>
    <row r="518" spans="1:4" ht="12.75">
      <c r="A518" s="30"/>
      <c r="B518" s="30"/>
      <c r="C518" s="30"/>
      <c r="D518" s="30"/>
    </row>
    <row r="519" spans="1:4" ht="12.75">
      <c r="A519" s="30"/>
      <c r="B519" s="30"/>
      <c r="C519" s="30"/>
      <c r="D519" s="30"/>
    </row>
    <row r="520" spans="1:4" ht="12.75">
      <c r="A520" s="30"/>
      <c r="B520" s="30"/>
      <c r="C520" s="30"/>
      <c r="D520" s="30"/>
    </row>
    <row r="521" spans="1:4" ht="12.75">
      <c r="A521" s="30"/>
      <c r="B521" s="30"/>
      <c r="C521" s="30"/>
      <c r="D521" s="30"/>
    </row>
    <row r="522" spans="1:4" ht="12.75">
      <c r="A522" s="30"/>
      <c r="B522" s="30"/>
      <c r="C522" s="30"/>
      <c r="D522" s="30"/>
    </row>
    <row r="523" spans="1:4" ht="12.75">
      <c r="A523" s="30"/>
      <c r="B523" s="30"/>
      <c r="C523" s="30"/>
      <c r="D523" s="30"/>
    </row>
    <row r="524" spans="1:4" ht="12.75">
      <c r="A524" s="30"/>
      <c r="B524" s="30"/>
      <c r="C524" s="30"/>
      <c r="D524" s="30"/>
    </row>
    <row r="525" spans="1:4" ht="12.75">
      <c r="A525" s="30"/>
      <c r="B525" s="30"/>
      <c r="C525" s="30"/>
      <c r="D525" s="30"/>
    </row>
    <row r="526" spans="1:4" ht="12.75">
      <c r="A526" s="30"/>
      <c r="B526" s="30"/>
      <c r="C526" s="30"/>
      <c r="D526" s="30"/>
    </row>
    <row r="527" spans="1:4" ht="12.75">
      <c r="A527" s="30"/>
      <c r="B527" s="30"/>
      <c r="C527" s="30"/>
      <c r="D527" s="30"/>
    </row>
    <row r="528" spans="1:4" ht="12.75">
      <c r="A528" s="30"/>
      <c r="B528" s="30"/>
      <c r="C528" s="30"/>
      <c r="D528" s="30"/>
    </row>
    <row r="529" spans="1:4" ht="12.75">
      <c r="A529" s="30"/>
      <c r="B529" s="30"/>
      <c r="C529" s="30"/>
      <c r="D529" s="30"/>
    </row>
    <row r="530" spans="1:4" ht="12.75">
      <c r="A530" s="30"/>
      <c r="B530" s="30"/>
      <c r="C530" s="30"/>
      <c r="D530" s="30"/>
    </row>
    <row r="531" spans="1:4" ht="12.75">
      <c r="A531" s="30"/>
      <c r="B531" s="30"/>
      <c r="C531" s="30"/>
      <c r="D531" s="30"/>
    </row>
    <row r="532" spans="1:4" ht="12.75">
      <c r="A532" s="30"/>
      <c r="B532" s="30"/>
      <c r="C532" s="30"/>
      <c r="D532" s="30"/>
    </row>
    <row r="533" spans="1:4" ht="12.75">
      <c r="A533" s="30"/>
      <c r="B533" s="30"/>
      <c r="C533" s="30"/>
      <c r="D533" s="30"/>
    </row>
    <row r="534" spans="1:4" ht="12.75">
      <c r="A534" s="30"/>
      <c r="B534" s="30"/>
      <c r="C534" s="30"/>
      <c r="D534" s="30"/>
    </row>
    <row r="535" spans="1:4" ht="12.75">
      <c r="A535" s="30"/>
      <c r="B535" s="30"/>
      <c r="C535" s="30"/>
      <c r="D535" s="30"/>
    </row>
    <row r="536" spans="1:4" ht="12.75">
      <c r="A536" s="30"/>
      <c r="B536" s="30"/>
      <c r="C536" s="30"/>
      <c r="D536" s="30"/>
    </row>
    <row r="537" spans="1:4" ht="12.75">
      <c r="A537" s="30"/>
      <c r="B537" s="30"/>
      <c r="C537" s="30"/>
      <c r="D537" s="30"/>
    </row>
    <row r="538" spans="1:4" ht="12.75">
      <c r="A538" s="30"/>
      <c r="B538" s="30"/>
      <c r="C538" s="30"/>
      <c r="D538" s="30"/>
    </row>
    <row r="539" spans="1:4" ht="12.75">
      <c r="A539" s="30"/>
      <c r="B539" s="30"/>
      <c r="C539" s="30"/>
      <c r="D539" s="30"/>
    </row>
    <row r="540" spans="1:4" ht="12.75">
      <c r="A540" s="30"/>
      <c r="B540" s="30"/>
      <c r="C540" s="30"/>
      <c r="D540" s="30"/>
    </row>
    <row r="541" spans="1:4" ht="12.75">
      <c r="A541" s="30"/>
      <c r="B541" s="30"/>
      <c r="C541" s="30"/>
      <c r="D541" s="30"/>
    </row>
    <row r="542" spans="1:4" ht="12.75">
      <c r="A542" s="30"/>
      <c r="B542" s="30"/>
      <c r="C542" s="30"/>
      <c r="D542" s="30"/>
    </row>
    <row r="543" spans="1:4" ht="12.75">
      <c r="A543" s="30"/>
      <c r="B543" s="30"/>
      <c r="C543" s="30"/>
      <c r="D543" s="30"/>
    </row>
    <row r="544" spans="1:4" ht="12.75">
      <c r="A544" s="30"/>
      <c r="B544" s="30"/>
      <c r="C544" s="30"/>
      <c r="D544" s="30"/>
    </row>
    <row r="545" spans="1:4" ht="12.75">
      <c r="A545" s="30"/>
      <c r="B545" s="30"/>
      <c r="C545" s="30"/>
      <c r="D545" s="30"/>
    </row>
    <row r="546" spans="1:4" ht="12.75">
      <c r="A546" s="30"/>
      <c r="B546" s="30"/>
      <c r="C546" s="30"/>
      <c r="D546" s="30"/>
    </row>
    <row r="547" spans="1:4" ht="12.75">
      <c r="A547" s="30"/>
      <c r="B547" s="30"/>
      <c r="C547" s="30"/>
      <c r="D547" s="30"/>
    </row>
    <row r="548" spans="1:4" ht="12.75">
      <c r="A548" s="30"/>
      <c r="B548" s="30"/>
      <c r="C548" s="30"/>
      <c r="D548" s="30"/>
    </row>
    <row r="549" spans="1:4" ht="12.75">
      <c r="A549" s="30"/>
      <c r="B549" s="30"/>
      <c r="C549" s="30"/>
      <c r="D549" s="30"/>
    </row>
    <row r="550" spans="1:4" ht="12.75">
      <c r="A550" s="30"/>
      <c r="B550" s="30"/>
      <c r="C550" s="30"/>
      <c r="D550" s="30"/>
    </row>
    <row r="551" spans="1:4" ht="12.75">
      <c r="A551" s="30"/>
      <c r="B551" s="30"/>
      <c r="C551" s="30"/>
      <c r="D551" s="30"/>
    </row>
    <row r="552" spans="1:4" ht="12.75">
      <c r="A552" s="30"/>
      <c r="B552" s="30"/>
      <c r="C552" s="30"/>
      <c r="D552" s="30"/>
    </row>
    <row r="553" spans="1:4" ht="12.75">
      <c r="A553" s="30"/>
      <c r="B553" s="30"/>
      <c r="C553" s="30"/>
      <c r="D553" s="30"/>
    </row>
    <row r="554" spans="1:4" ht="12.75">
      <c r="A554" s="30"/>
      <c r="B554" s="30"/>
      <c r="C554" s="30"/>
      <c r="D554" s="30"/>
    </row>
    <row r="555" spans="1:4" ht="12.75">
      <c r="A555" s="30"/>
      <c r="B555" s="30"/>
      <c r="C555" s="30"/>
      <c r="D555" s="30"/>
    </row>
    <row r="556" spans="1:4" ht="12.75">
      <c r="A556" s="30"/>
      <c r="B556" s="30"/>
      <c r="C556" s="30"/>
      <c r="D556" s="30"/>
    </row>
    <row r="557" spans="1:4" ht="12.75">
      <c r="A557" s="30"/>
      <c r="B557" s="30"/>
      <c r="C557" s="30"/>
      <c r="D557" s="30"/>
    </row>
    <row r="558" spans="1:4" ht="12.75">
      <c r="A558" s="30"/>
      <c r="B558" s="30"/>
      <c r="C558" s="30"/>
      <c r="D558" s="30"/>
    </row>
    <row r="559" spans="1:4" ht="12.75">
      <c r="A559" s="30"/>
      <c r="B559" s="30"/>
      <c r="C559" s="30"/>
      <c r="D559" s="30"/>
    </row>
    <row r="560" spans="1:4" ht="12.75">
      <c r="A560" s="30"/>
      <c r="B560" s="30"/>
      <c r="C560" s="30"/>
      <c r="D560" s="30"/>
    </row>
    <row r="561" spans="1:4" ht="12.75">
      <c r="A561" s="30"/>
      <c r="B561" s="30"/>
      <c r="C561" s="30"/>
      <c r="D561" s="30"/>
    </row>
    <row r="562" spans="1:4" ht="12.75">
      <c r="A562" s="30"/>
      <c r="B562" s="30"/>
      <c r="C562" s="30"/>
      <c r="D562" s="30"/>
    </row>
    <row r="563" spans="1:4" ht="12.75">
      <c r="A563" s="30"/>
      <c r="B563" s="30"/>
      <c r="C563" s="30"/>
      <c r="D563" s="30"/>
    </row>
    <row r="564" spans="1:4" ht="12.75">
      <c r="A564" s="30"/>
      <c r="B564" s="30"/>
      <c r="C564" s="30"/>
      <c r="D564" s="30"/>
    </row>
    <row r="565" spans="1:4" ht="12.75">
      <c r="A565" s="30"/>
      <c r="B565" s="30"/>
      <c r="C565" s="30"/>
      <c r="D565" s="30"/>
    </row>
    <row r="566" spans="1:4" ht="12.75">
      <c r="A566" s="30"/>
      <c r="B566" s="30"/>
      <c r="C566" s="30"/>
      <c r="D566" s="30"/>
    </row>
    <row r="567" spans="1:4" ht="12.75">
      <c r="A567" s="30"/>
      <c r="B567" s="30"/>
      <c r="C567" s="30"/>
      <c r="D567" s="30"/>
    </row>
    <row r="568" spans="1:4" ht="12.75">
      <c r="A568" s="30"/>
      <c r="B568" s="30"/>
      <c r="C568" s="30"/>
      <c r="D568" s="30"/>
    </row>
    <row r="569" spans="1:4" ht="12.75">
      <c r="A569" s="30"/>
      <c r="B569" s="30"/>
      <c r="C569" s="30"/>
      <c r="D569" s="30"/>
    </row>
    <row r="570" spans="1:4" ht="12.75">
      <c r="A570" s="30"/>
      <c r="B570" s="30"/>
      <c r="C570" s="30"/>
      <c r="D570" s="30"/>
    </row>
    <row r="571" spans="1:4" ht="12.75">
      <c r="A571" s="30"/>
      <c r="B571" s="30"/>
      <c r="C571" s="30"/>
      <c r="D571" s="30"/>
    </row>
    <row r="572" spans="1:4" ht="12.75">
      <c r="A572" s="30"/>
      <c r="B572" s="30"/>
      <c r="C572" s="30"/>
      <c r="D572" s="30"/>
    </row>
    <row r="573" spans="1:4" ht="12.75">
      <c r="A573" s="30"/>
      <c r="B573" s="30"/>
      <c r="C573" s="30"/>
      <c r="D573" s="30"/>
    </row>
    <row r="574" spans="1:4" ht="12.75">
      <c r="A574" s="30"/>
      <c r="B574" s="30"/>
      <c r="C574" s="30"/>
      <c r="D574" s="30"/>
    </row>
    <row r="575" spans="1:4" ht="12.75">
      <c r="A575" s="30"/>
      <c r="B575" s="30"/>
      <c r="C575" s="30"/>
      <c r="D575" s="30"/>
    </row>
    <row r="576" spans="1:4" ht="12.75">
      <c r="A576" s="30"/>
      <c r="B576" s="30"/>
      <c r="C576" s="30"/>
      <c r="D576" s="30"/>
    </row>
    <row r="577" spans="1:4" ht="12.75">
      <c r="A577" s="30"/>
      <c r="B577" s="30"/>
      <c r="C577" s="30"/>
      <c r="D577" s="30"/>
    </row>
    <row r="578" spans="1:4" ht="12.75">
      <c r="A578" s="30"/>
      <c r="B578" s="30"/>
      <c r="C578" s="30"/>
      <c r="D578" s="30"/>
    </row>
    <row r="579" spans="1:4" ht="12.75">
      <c r="A579" s="30"/>
      <c r="B579" s="30"/>
      <c r="C579" s="30"/>
      <c r="D579" s="30"/>
    </row>
    <row r="580" spans="1:4" ht="12.75">
      <c r="A580" s="30"/>
      <c r="B580" s="30"/>
      <c r="C580" s="30"/>
      <c r="D580" s="30"/>
    </row>
    <row r="581" spans="1:4" ht="12.75">
      <c r="A581" s="30"/>
      <c r="B581" s="30"/>
      <c r="C581" s="30"/>
      <c r="D581" s="30"/>
    </row>
    <row r="582" spans="1:4" ht="12.75">
      <c r="A582" s="30"/>
      <c r="B582" s="30"/>
      <c r="C582" s="30"/>
      <c r="D582" s="30"/>
    </row>
    <row r="583" spans="1:4" ht="12.75">
      <c r="A583" s="30"/>
      <c r="B583" s="30"/>
      <c r="C583" s="30"/>
      <c r="D583" s="30"/>
    </row>
    <row r="584" spans="1:4" ht="12.75">
      <c r="A584" s="30"/>
      <c r="B584" s="30"/>
      <c r="C584" s="30"/>
      <c r="D584" s="30"/>
    </row>
    <row r="585" spans="1:4" ht="12.75">
      <c r="A585" s="30"/>
      <c r="B585" s="30"/>
      <c r="C585" s="30"/>
      <c r="D585" s="30"/>
    </row>
    <row r="586" spans="1:4" ht="12.75">
      <c r="A586" s="30"/>
      <c r="B586" s="30"/>
      <c r="C586" s="30"/>
      <c r="D586" s="30"/>
    </row>
    <row r="587" spans="1:4" ht="12.75">
      <c r="A587" s="30"/>
      <c r="B587" s="30"/>
      <c r="C587" s="30"/>
      <c r="D587" s="30"/>
    </row>
    <row r="588" spans="1:4" ht="12.75">
      <c r="A588" s="30"/>
      <c r="B588" s="30"/>
      <c r="C588" s="30"/>
      <c r="D588" s="30"/>
    </row>
    <row r="589" spans="1:4" ht="12.75">
      <c r="A589" s="30"/>
      <c r="B589" s="30"/>
      <c r="C589" s="30"/>
      <c r="D589" s="30"/>
    </row>
    <row r="590" spans="1:4" ht="12.75">
      <c r="A590" s="30"/>
      <c r="B590" s="30"/>
      <c r="C590" s="30"/>
      <c r="D590" s="30"/>
    </row>
    <row r="591" spans="1:4" ht="12.75">
      <c r="A591" s="30"/>
      <c r="B591" s="30"/>
      <c r="C591" s="30"/>
      <c r="D591" s="30"/>
    </row>
    <row r="592" spans="1:4" ht="12.75">
      <c r="A592" s="30"/>
      <c r="B592" s="30"/>
      <c r="C592" s="30"/>
      <c r="D592" s="30"/>
    </row>
    <row r="593" spans="1:4" ht="12.75">
      <c r="A593" s="30"/>
      <c r="B593" s="30"/>
      <c r="C593" s="30"/>
      <c r="D593" s="30"/>
    </row>
    <row r="594" spans="1:4" ht="12.75">
      <c r="A594" s="30"/>
      <c r="B594" s="30"/>
      <c r="C594" s="30"/>
      <c r="D594" s="30"/>
    </row>
    <row r="595" spans="1:4" ht="12.75">
      <c r="A595" s="30"/>
      <c r="B595" s="30"/>
      <c r="C595" s="30"/>
      <c r="D595" s="30"/>
    </row>
    <row r="596" spans="1:4" ht="12.75">
      <c r="A596" s="30"/>
      <c r="B596" s="30"/>
      <c r="C596" s="30"/>
      <c r="D596" s="30"/>
    </row>
    <row r="597" spans="1:4" ht="12.75">
      <c r="A597" s="30"/>
      <c r="B597" s="30"/>
      <c r="C597" s="30"/>
      <c r="D597" s="30"/>
    </row>
    <row r="598" spans="1:4" ht="12.75">
      <c r="A598" s="30"/>
      <c r="B598" s="30"/>
      <c r="C598" s="30"/>
      <c r="D598" s="30"/>
    </row>
    <row r="599" spans="1:4" ht="12.75">
      <c r="A599" s="30"/>
      <c r="B599" s="30"/>
      <c r="C599" s="30"/>
      <c r="D599" s="30"/>
    </row>
    <row r="600" spans="1:4" ht="12.75">
      <c r="A600" s="30"/>
      <c r="B600" s="30"/>
      <c r="C600" s="30"/>
      <c r="D600" s="30"/>
    </row>
    <row r="601" spans="1:4" ht="12.75">
      <c r="A601" s="30"/>
      <c r="B601" s="30"/>
      <c r="C601" s="30"/>
      <c r="D601" s="30"/>
    </row>
    <row r="602" spans="1:4" ht="12.75">
      <c r="A602" s="30"/>
      <c r="B602" s="30"/>
      <c r="C602" s="30"/>
      <c r="D602" s="30"/>
    </row>
    <row r="603" spans="1:4" ht="12.75">
      <c r="A603" s="30"/>
      <c r="B603" s="30"/>
      <c r="C603" s="30"/>
      <c r="D603" s="30"/>
    </row>
    <row r="604" spans="1:4" ht="12.75">
      <c r="A604" s="30"/>
      <c r="B604" s="30"/>
      <c r="C604" s="30"/>
      <c r="D604" s="30"/>
    </row>
    <row r="605" spans="1:4" ht="12.75">
      <c r="A605" s="30"/>
      <c r="B605" s="30"/>
      <c r="C605" s="30"/>
      <c r="D605" s="30"/>
    </row>
    <row r="606" spans="1:4" ht="12.75">
      <c r="A606" s="30"/>
      <c r="B606" s="30"/>
      <c r="C606" s="30"/>
      <c r="D606" s="30"/>
    </row>
    <row r="607" spans="1:4" ht="12.75">
      <c r="A607" s="30"/>
      <c r="B607" s="30"/>
      <c r="C607" s="30"/>
      <c r="D607" s="30"/>
    </row>
    <row r="608" spans="1:4" ht="12.75">
      <c r="A608" s="30"/>
      <c r="B608" s="30"/>
      <c r="C608" s="30"/>
      <c r="D608" s="30"/>
    </row>
    <row r="609" spans="1:4" ht="12.75">
      <c r="A609" s="30"/>
      <c r="B609" s="30"/>
      <c r="C609" s="30"/>
      <c r="D609" s="30"/>
    </row>
    <row r="610" spans="1:4" ht="12.75">
      <c r="A610" s="30"/>
      <c r="B610" s="30"/>
      <c r="C610" s="30"/>
      <c r="D610" s="30"/>
    </row>
    <row r="611" spans="1:4" ht="12.75">
      <c r="A611" s="30"/>
      <c r="B611" s="30"/>
      <c r="C611" s="30"/>
      <c r="D611" s="30"/>
    </row>
    <row r="612" spans="1:4" ht="12.75">
      <c r="A612" s="30"/>
      <c r="B612" s="30"/>
      <c r="C612" s="30"/>
      <c r="D612" s="30"/>
    </row>
    <row r="613" spans="1:4" ht="12.75">
      <c r="A613" s="30"/>
      <c r="B613" s="30"/>
      <c r="C613" s="30"/>
      <c r="D613" s="30"/>
    </row>
    <row r="614" spans="1:4" ht="12.75">
      <c r="A614" s="30"/>
      <c r="B614" s="30"/>
      <c r="C614" s="30"/>
      <c r="D614" s="30"/>
    </row>
    <row r="615" spans="1:4" ht="12.75">
      <c r="A615" s="30"/>
      <c r="B615" s="30"/>
      <c r="C615" s="30"/>
      <c r="D615" s="30"/>
    </row>
    <row r="616" spans="1:4" ht="12.75">
      <c r="A616" s="30"/>
      <c r="B616" s="30"/>
      <c r="C616" s="30"/>
      <c r="D616" s="30"/>
    </row>
    <row r="617" spans="1:4" ht="12.75">
      <c r="A617" s="30"/>
      <c r="B617" s="30"/>
      <c r="C617" s="30"/>
      <c r="D617" s="30"/>
    </row>
    <row r="618" spans="1:4" ht="12.75">
      <c r="A618" s="30"/>
      <c r="B618" s="30"/>
      <c r="C618" s="30"/>
      <c r="D618" s="30"/>
    </row>
    <row r="619" spans="1:4" ht="12.75">
      <c r="A619" s="30"/>
      <c r="B619" s="30"/>
      <c r="C619" s="30"/>
      <c r="D619" s="30"/>
    </row>
    <row r="620" spans="1:4" ht="12.75">
      <c r="A620" s="30"/>
      <c r="B620" s="30"/>
      <c r="C620" s="30"/>
      <c r="D620" s="30"/>
    </row>
    <row r="621" spans="1:4" ht="12.75">
      <c r="A621" s="30"/>
      <c r="B621" s="30"/>
      <c r="C621" s="30"/>
      <c r="D621" s="30"/>
    </row>
    <row r="622" spans="1:4" ht="12.75">
      <c r="A622" s="30"/>
      <c r="B622" s="30"/>
      <c r="C622" s="30"/>
      <c r="D622" s="30"/>
    </row>
    <row r="623" spans="1:4" ht="12.75">
      <c r="A623" s="30"/>
      <c r="B623" s="30"/>
      <c r="C623" s="30"/>
      <c r="D623" s="30"/>
    </row>
    <row r="624" spans="1:4" ht="12.75">
      <c r="A624" s="30"/>
      <c r="B624" s="30"/>
      <c r="C624" s="30"/>
      <c r="D624" s="30"/>
    </row>
    <row r="625" spans="1:4" ht="12.75">
      <c r="A625" s="30"/>
      <c r="B625" s="30"/>
      <c r="C625" s="30"/>
      <c r="D625" s="30"/>
    </row>
    <row r="626" spans="1:4" ht="12.75">
      <c r="A626" s="30"/>
      <c r="B626" s="30"/>
      <c r="C626" s="30"/>
      <c r="D626" s="30"/>
    </row>
    <row r="627" spans="1:4" ht="12.75">
      <c r="A627" s="30"/>
      <c r="B627" s="30"/>
      <c r="C627" s="30"/>
      <c r="D627" s="30"/>
    </row>
    <row r="628" spans="1:4" ht="12.75">
      <c r="A628" s="30"/>
      <c r="B628" s="30"/>
      <c r="C628" s="30"/>
      <c r="D628" s="30"/>
    </row>
    <row r="629" spans="1:4" ht="12.75">
      <c r="A629" s="30"/>
      <c r="B629" s="30"/>
      <c r="C629" s="30"/>
      <c r="D629" s="30"/>
    </row>
    <row r="630" spans="1:4" ht="12.75">
      <c r="A630" s="30"/>
      <c r="B630" s="30"/>
      <c r="C630" s="30"/>
      <c r="D630" s="30"/>
    </row>
    <row r="631" spans="1:4" ht="12.75">
      <c r="A631" s="30"/>
      <c r="B631" s="30"/>
      <c r="C631" s="30"/>
      <c r="D631" s="30"/>
    </row>
    <row r="632" spans="1:4" ht="12.75">
      <c r="A632" s="30"/>
      <c r="B632" s="30"/>
      <c r="C632" s="30"/>
      <c r="D632" s="30"/>
    </row>
    <row r="633" spans="1:4" ht="12.75">
      <c r="A633" s="30"/>
      <c r="B633" s="30"/>
      <c r="C633" s="30"/>
      <c r="D633" s="30"/>
    </row>
    <row r="634" spans="1:4" ht="12.75">
      <c r="A634" s="30"/>
      <c r="B634" s="30"/>
      <c r="C634" s="30"/>
      <c r="D634" s="30"/>
    </row>
    <row r="635" spans="1:4" ht="12.75">
      <c r="A635" s="30"/>
      <c r="B635" s="30"/>
      <c r="C635" s="30"/>
      <c r="D635" s="30"/>
    </row>
    <row r="636" spans="1:4" ht="12.75">
      <c r="A636" s="30"/>
      <c r="B636" s="30"/>
      <c r="C636" s="30"/>
      <c r="D636" s="30"/>
    </row>
    <row r="637" spans="1:4" ht="12.75">
      <c r="A637" s="30"/>
      <c r="B637" s="30"/>
      <c r="C637" s="30"/>
      <c r="D637" s="30"/>
    </row>
    <row r="638" spans="1:4" ht="12.75">
      <c r="A638" s="30"/>
      <c r="B638" s="30"/>
      <c r="C638" s="30"/>
      <c r="D638" s="30"/>
    </row>
    <row r="639" spans="1:4" ht="12.75">
      <c r="A639" s="30"/>
      <c r="B639" s="30"/>
      <c r="C639" s="30"/>
      <c r="D639" s="30"/>
    </row>
    <row r="640" spans="1:4" ht="12.75">
      <c r="A640" s="30"/>
      <c r="B640" s="30"/>
      <c r="C640" s="30"/>
      <c r="D640" s="30"/>
    </row>
    <row r="641" spans="1:4" ht="12.75">
      <c r="A641" s="30"/>
      <c r="B641" s="30"/>
      <c r="C641" s="30"/>
      <c r="D641" s="30"/>
    </row>
    <row r="642" spans="1:4" ht="12.75">
      <c r="A642" s="30"/>
      <c r="B642" s="30"/>
      <c r="C642" s="30"/>
      <c r="D642" s="30"/>
    </row>
    <row r="643" spans="1:4" ht="12.75">
      <c r="A643" s="30"/>
      <c r="B643" s="30"/>
      <c r="C643" s="30"/>
      <c r="D643" s="30"/>
    </row>
    <row r="644" spans="1:4" ht="12.75">
      <c r="A644" s="30"/>
      <c r="B644" s="30"/>
      <c r="C644" s="30"/>
      <c r="D644" s="30"/>
    </row>
    <row r="645" spans="1:4" ht="12.75">
      <c r="A645" s="30"/>
      <c r="B645" s="30"/>
      <c r="C645" s="30"/>
      <c r="D645" s="30"/>
    </row>
    <row r="646" spans="1:4" ht="12.75">
      <c r="A646" s="30"/>
      <c r="B646" s="30"/>
      <c r="C646" s="30"/>
      <c r="D646" s="30"/>
    </row>
    <row r="647" spans="1:4" ht="12.75">
      <c r="A647" s="30"/>
      <c r="B647" s="30"/>
      <c r="C647" s="30"/>
      <c r="D647" s="30"/>
    </row>
    <row r="648" spans="1:4" ht="12.75">
      <c r="A648" s="30"/>
      <c r="B648" s="30"/>
      <c r="C648" s="30"/>
      <c r="D648" s="30"/>
    </row>
    <row r="649" spans="1:4" ht="12.75">
      <c r="A649" s="30"/>
      <c r="B649" s="30"/>
      <c r="C649" s="30"/>
      <c r="D649" s="30"/>
    </row>
    <row r="650" spans="1:4" ht="12.75">
      <c r="A650" s="30"/>
      <c r="B650" s="30"/>
      <c r="C650" s="30"/>
      <c r="D650" s="30"/>
    </row>
    <row r="651" spans="1:4" ht="12.75">
      <c r="A651" s="30"/>
      <c r="B651" s="30"/>
      <c r="C651" s="30"/>
      <c r="D651" s="30"/>
    </row>
    <row r="652" spans="1:4" ht="12.75">
      <c r="A652" s="30"/>
      <c r="B652" s="30"/>
      <c r="C652" s="30"/>
      <c r="D652" s="30"/>
    </row>
    <row r="653" spans="1:4" ht="12.75">
      <c r="A653" s="30"/>
      <c r="B653" s="30"/>
      <c r="C653" s="30"/>
      <c r="D653" s="30"/>
    </row>
    <row r="654" spans="1:4" ht="12.75">
      <c r="A654" s="30"/>
      <c r="B654" s="30"/>
      <c r="C654" s="30"/>
      <c r="D654" s="30"/>
    </row>
    <row r="655" spans="1:4" ht="12.75">
      <c r="A655" s="30"/>
      <c r="B655" s="30"/>
      <c r="C655" s="30"/>
      <c r="D655" s="30"/>
    </row>
    <row r="656" spans="1:4" ht="12.75">
      <c r="A656" s="30"/>
      <c r="B656" s="30"/>
      <c r="C656" s="30"/>
      <c r="D656" s="30"/>
    </row>
    <row r="657" spans="1:4" ht="12.75">
      <c r="A657" s="30"/>
      <c r="B657" s="30"/>
      <c r="C657" s="30"/>
      <c r="D657" s="30"/>
    </row>
    <row r="658" spans="1:4" ht="12.75">
      <c r="A658" s="30"/>
      <c r="B658" s="30"/>
      <c r="C658" s="30"/>
      <c r="D658" s="30"/>
    </row>
    <row r="659" spans="1:4" ht="12.75">
      <c r="A659" s="30"/>
      <c r="B659" s="30"/>
      <c r="C659" s="30"/>
      <c r="D659" s="30"/>
    </row>
    <row r="660" spans="1:4" ht="12.75">
      <c r="A660" s="30"/>
      <c r="B660" s="30"/>
      <c r="C660" s="30"/>
      <c r="D660" s="30"/>
    </row>
    <row r="661" spans="1:4" ht="12.75">
      <c r="A661" s="30"/>
      <c r="B661" s="30"/>
      <c r="C661" s="30"/>
      <c r="D661" s="30"/>
    </row>
    <row r="662" spans="1:4" ht="12.75">
      <c r="A662" s="30"/>
      <c r="B662" s="30"/>
      <c r="C662" s="30"/>
      <c r="D662" s="30"/>
    </row>
    <row r="663" spans="1:4" ht="12.75">
      <c r="A663" s="30"/>
      <c r="B663" s="30"/>
      <c r="C663" s="30"/>
      <c r="D663" s="30"/>
    </row>
    <row r="664" spans="1:4" ht="12.75">
      <c r="A664" s="30"/>
      <c r="B664" s="30"/>
      <c r="C664" s="30"/>
      <c r="D664" s="30"/>
    </row>
    <row r="665" spans="1:4" ht="12.75">
      <c r="A665" s="30"/>
      <c r="B665" s="30"/>
      <c r="C665" s="30"/>
      <c r="D665" s="30"/>
    </row>
    <row r="666" spans="1:4" ht="12.75">
      <c r="A666" s="30"/>
      <c r="B666" s="30"/>
      <c r="C666" s="30"/>
      <c r="D666" s="30"/>
    </row>
    <row r="667" spans="1:4" ht="12.75">
      <c r="A667" s="30"/>
      <c r="B667" s="30"/>
      <c r="C667" s="30"/>
      <c r="D667" s="30"/>
    </row>
    <row r="668" spans="1:4" ht="12.75">
      <c r="A668" s="30"/>
      <c r="B668" s="30"/>
      <c r="C668" s="30"/>
      <c r="D668" s="30"/>
    </row>
    <row r="669" spans="1:4" ht="12.75">
      <c r="A669" s="30"/>
      <c r="B669" s="30"/>
      <c r="C669" s="30"/>
      <c r="D669" s="30"/>
    </row>
    <row r="670" spans="1:4" ht="12.75">
      <c r="A670" s="30"/>
      <c r="B670" s="30"/>
      <c r="C670" s="30"/>
      <c r="D670" s="30"/>
    </row>
    <row r="671" spans="1:4" ht="12.75">
      <c r="A671" s="30"/>
      <c r="B671" s="30"/>
      <c r="C671" s="30"/>
      <c r="D671" s="30"/>
    </row>
    <row r="672" spans="1:4" ht="12.75">
      <c r="A672" s="30"/>
      <c r="B672" s="30"/>
      <c r="C672" s="30"/>
      <c r="D672" s="30"/>
    </row>
    <row r="673" spans="1:4" ht="12.75">
      <c r="A673" s="30"/>
      <c r="B673" s="30"/>
      <c r="C673" s="30"/>
      <c r="D673" s="30"/>
    </row>
    <row r="674" spans="1:4" ht="12.75">
      <c r="A674" s="30"/>
      <c r="B674" s="30"/>
      <c r="C674" s="30"/>
      <c r="D674" s="30"/>
    </row>
    <row r="675" spans="1:4" ht="12.75">
      <c r="A675" s="30"/>
      <c r="B675" s="30"/>
      <c r="C675" s="30"/>
      <c r="D675" s="30"/>
    </row>
    <row r="676" spans="1:4" ht="12.75">
      <c r="A676" s="30"/>
      <c r="B676" s="30"/>
      <c r="C676" s="30"/>
      <c r="D676" s="30"/>
    </row>
    <row r="677" spans="1:4" ht="12.75">
      <c r="A677" s="30"/>
      <c r="B677" s="30"/>
      <c r="C677" s="30"/>
      <c r="D677" s="30"/>
    </row>
    <row r="678" spans="1:4" ht="12.75">
      <c r="A678" s="30"/>
      <c r="B678" s="30"/>
      <c r="C678" s="30"/>
      <c r="D678" s="30"/>
    </row>
    <row r="679" spans="1:4" ht="12.75">
      <c r="A679" s="30"/>
      <c r="B679" s="30"/>
      <c r="C679" s="30"/>
      <c r="D679" s="30"/>
    </row>
    <row r="680" spans="1:4" ht="12.75">
      <c r="A680" s="30"/>
      <c r="B680" s="30"/>
      <c r="C680" s="30"/>
      <c r="D680" s="30"/>
    </row>
    <row r="681" spans="1:4" ht="12.75">
      <c r="A681" s="30"/>
      <c r="B681" s="30"/>
      <c r="C681" s="30"/>
      <c r="D681" s="30"/>
    </row>
    <row r="682" spans="1:4" ht="12.75">
      <c r="A682" s="30"/>
      <c r="B682" s="30"/>
      <c r="C682" s="30"/>
      <c r="D682" s="30"/>
    </row>
    <row r="683" spans="1:4" ht="12.75">
      <c r="A683" s="30"/>
      <c r="B683" s="30"/>
      <c r="C683" s="30"/>
      <c r="D683" s="30"/>
    </row>
    <row r="684" spans="1:4" ht="12.75">
      <c r="A684" s="30"/>
      <c r="B684" s="30"/>
      <c r="C684" s="30"/>
      <c r="D684" s="30"/>
    </row>
    <row r="685" spans="1:4" ht="12.75">
      <c r="A685" s="30"/>
      <c r="B685" s="30"/>
      <c r="C685" s="30"/>
      <c r="D685" s="30"/>
    </row>
    <row r="686" spans="1:4" ht="12.75">
      <c r="A686" s="30"/>
      <c r="B686" s="30"/>
      <c r="C686" s="30"/>
      <c r="D686" s="30"/>
    </row>
    <row r="687" spans="1:4" ht="12.75">
      <c r="A687" s="30"/>
      <c r="B687" s="30"/>
      <c r="C687" s="30"/>
      <c r="D687" s="30"/>
    </row>
    <row r="688" spans="1:4" ht="12.75">
      <c r="A688" s="30"/>
      <c r="B688" s="30"/>
      <c r="C688" s="30"/>
      <c r="D688" s="30"/>
    </row>
    <row r="689" spans="1:4" ht="12.75">
      <c r="A689" s="30"/>
      <c r="B689" s="30"/>
      <c r="C689" s="30"/>
      <c r="D689" s="30"/>
    </row>
    <row r="690" spans="1:4" ht="12.75">
      <c r="A690" s="30"/>
      <c r="B690" s="30"/>
      <c r="C690" s="30"/>
      <c r="D690" s="30"/>
    </row>
    <row r="691" spans="1:4" ht="12.75">
      <c r="A691" s="30"/>
      <c r="B691" s="30"/>
      <c r="C691" s="30"/>
      <c r="D691" s="30"/>
    </row>
    <row r="692" spans="1:4" ht="12.75">
      <c r="A692" s="30"/>
      <c r="B692" s="30"/>
      <c r="C692" s="30"/>
      <c r="D692" s="30"/>
    </row>
    <row r="693" spans="1:4" ht="12.75">
      <c r="A693" s="30"/>
      <c r="B693" s="30"/>
      <c r="C693" s="30"/>
      <c r="D693" s="30"/>
    </row>
    <row r="694" spans="1:4" ht="12.75">
      <c r="A694" s="30"/>
      <c r="B694" s="30"/>
      <c r="C694" s="30"/>
      <c r="D694" s="30"/>
    </row>
    <row r="695" spans="1:4" ht="12.75">
      <c r="A695" s="30"/>
      <c r="B695" s="30"/>
      <c r="C695" s="30"/>
      <c r="D695" s="30"/>
    </row>
    <row r="696" spans="1:4" ht="12.75">
      <c r="A696" s="30"/>
      <c r="B696" s="30"/>
      <c r="C696" s="30"/>
      <c r="D696" s="30"/>
    </row>
    <row r="697" spans="1:4" ht="12.75">
      <c r="A697" s="30"/>
      <c r="B697" s="30"/>
      <c r="C697" s="30"/>
      <c r="D697" s="30"/>
    </row>
    <row r="698" spans="1:4" ht="12.75">
      <c r="A698" s="30"/>
      <c r="B698" s="30"/>
      <c r="C698" s="30"/>
      <c r="D698" s="30"/>
    </row>
  </sheetData>
  <printOptions/>
  <pageMargins left="0.73" right="0.68" top="1.3779527559055118" bottom="1.3779527559055118" header="0.5118110236220472" footer="0.5118110236220472"/>
  <pageSetup horizontalDpi="600" verticalDpi="600" orientation="landscape" paperSize="9" scale="63" r:id="rId1"/>
  <headerFooter alignWithMargins="0">
    <oddHeader>&amp;L&amp;9MCI Management&amp;10 Spółka Akcyjna&amp;CSA-RS 2002&amp;Rw tys. zł</oddHeader>
    <oddFooter>&amp;CKomisja Papierów Warościowych i Giełd</oddFooter>
  </headerFooter>
  <rowBreaks count="4" manualBreakCount="4">
    <brk id="53" max="255" man="1"/>
    <brk id="102" max="255" man="1"/>
    <brk id="201" max="255" man="1"/>
    <brk id="275" max="255" man="1"/>
  </rowBreaks>
</worksheet>
</file>

<file path=xl/worksheets/sheet5.xml><?xml version="1.0" encoding="utf-8"?>
<worksheet xmlns="http://schemas.openxmlformats.org/spreadsheetml/2006/main" xmlns:r="http://schemas.openxmlformats.org/officeDocument/2006/relationships">
  <dimension ref="A1:H29"/>
  <sheetViews>
    <sheetView zoomScale="75" zoomScaleNormal="75" workbookViewId="0" topLeftCell="A3">
      <pane xSplit="1" ySplit="1" topLeftCell="B4" activePane="bottomRight" state="frozen"/>
      <selection pane="topLeft" activeCell="A3" sqref="A3"/>
      <selection pane="topRight" activeCell="B3" sqref="B3"/>
      <selection pane="bottomLeft" activeCell="A4" sqref="A4"/>
      <selection pane="bottomRight" activeCell="A3" sqref="A3"/>
    </sheetView>
  </sheetViews>
  <sheetFormatPr defaultColWidth="9.00390625" defaultRowHeight="12.75"/>
  <cols>
    <col min="1" max="1" width="61.875" style="0" customWidth="1"/>
    <col min="2" max="2" width="18.25390625" style="0" customWidth="1"/>
    <col min="3" max="3" width="18.625" style="0" customWidth="1"/>
    <col min="4" max="5" width="18.375" style="0" customWidth="1"/>
    <col min="6" max="6" width="18.25390625" style="0" customWidth="1"/>
    <col min="7" max="7" width="18.125" style="0" customWidth="1"/>
  </cols>
  <sheetData>
    <row r="1" spans="1:7" ht="15.75">
      <c r="A1" s="105" t="s">
        <v>970</v>
      </c>
      <c r="B1" s="99"/>
      <c r="C1" s="99"/>
      <c r="D1" s="99"/>
      <c r="E1" s="99"/>
      <c r="F1" s="99"/>
      <c r="G1" s="99"/>
    </row>
    <row r="2" spans="1:7" ht="13.5" thickBot="1">
      <c r="A2" s="99"/>
      <c r="B2" s="99"/>
      <c r="C2" s="99"/>
      <c r="D2" s="99"/>
      <c r="E2" s="99"/>
      <c r="F2" s="99"/>
      <c r="G2" s="99"/>
    </row>
    <row r="3" spans="1:7" s="5" customFormat="1" ht="80.25" customHeight="1">
      <c r="A3" s="249" t="s">
        <v>986</v>
      </c>
      <c r="B3" s="250" t="s">
        <v>408</v>
      </c>
      <c r="C3" s="250" t="s">
        <v>409</v>
      </c>
      <c r="D3" s="250" t="s">
        <v>410</v>
      </c>
      <c r="E3" s="250" t="s">
        <v>412</v>
      </c>
      <c r="F3" s="250" t="s">
        <v>413</v>
      </c>
      <c r="G3" s="251" t="s">
        <v>1037</v>
      </c>
    </row>
    <row r="4" spans="1:7" ht="14.25">
      <c r="A4" s="68" t="s">
        <v>973</v>
      </c>
      <c r="B4" s="245">
        <v>0</v>
      </c>
      <c r="C4" s="646">
        <f>633+18</f>
        <v>651</v>
      </c>
      <c r="D4" s="646">
        <f>25+1886</f>
        <v>1911</v>
      </c>
      <c r="E4" s="646">
        <v>808</v>
      </c>
      <c r="F4" s="646">
        <f>41+53</f>
        <v>94</v>
      </c>
      <c r="G4" s="647">
        <f>SUM(B4:F4)</f>
        <v>3464</v>
      </c>
    </row>
    <row r="5" spans="1:7" ht="14.25">
      <c r="A5" s="68" t="s">
        <v>964</v>
      </c>
      <c r="B5" s="245">
        <f>SUM(B6:B7)</f>
        <v>0</v>
      </c>
      <c r="C5" s="646">
        <f>SUM(C6:C8)</f>
        <v>70</v>
      </c>
      <c r="D5" s="646">
        <f>SUM(D6:D8)</f>
        <v>337</v>
      </c>
      <c r="E5" s="646">
        <f>SUM(E6:E8)</f>
        <v>589</v>
      </c>
      <c r="F5" s="646">
        <f>SUM(F6:F8)</f>
        <v>95</v>
      </c>
      <c r="G5" s="647">
        <f aca="true" t="shared" si="0" ref="G5:G24">SUM(B5:F5)</f>
        <v>1091</v>
      </c>
    </row>
    <row r="6" spans="1:7" ht="14.25">
      <c r="A6" s="68" t="s">
        <v>153</v>
      </c>
      <c r="B6" s="245"/>
      <c r="C6" s="646"/>
      <c r="D6" s="646"/>
      <c r="E6" s="646"/>
      <c r="F6" s="646"/>
      <c r="G6" s="647">
        <f t="shared" si="0"/>
        <v>0</v>
      </c>
    </row>
    <row r="7" spans="1:7" ht="14.25">
      <c r="A7" s="68" t="s">
        <v>157</v>
      </c>
      <c r="B7" s="245"/>
      <c r="C7" s="646">
        <f>31+19</f>
        <v>50</v>
      </c>
      <c r="D7" s="646">
        <f>4+70+11+14</f>
        <v>99</v>
      </c>
      <c r="E7" s="646">
        <f>100+164</f>
        <v>264</v>
      </c>
      <c r="F7" s="646">
        <f>5+4+5+8</f>
        <v>22</v>
      </c>
      <c r="G7" s="647">
        <f t="shared" si="0"/>
        <v>435</v>
      </c>
    </row>
    <row r="8" spans="1:7" ht="14.25">
      <c r="A8" s="68" t="s">
        <v>751</v>
      </c>
      <c r="B8" s="245"/>
      <c r="C8" s="646">
        <v>20</v>
      </c>
      <c r="D8" s="646">
        <f>121+117</f>
        <v>238</v>
      </c>
      <c r="E8" s="646">
        <v>325</v>
      </c>
      <c r="F8" s="646">
        <f>65+8</f>
        <v>73</v>
      </c>
      <c r="G8" s="647">
        <f>SUM(B8:F8)</f>
        <v>656</v>
      </c>
    </row>
    <row r="9" spans="1:7" ht="14.25">
      <c r="A9" s="68" t="s">
        <v>966</v>
      </c>
      <c r="B9" s="245">
        <f>SUM(B10:B12)</f>
        <v>0</v>
      </c>
      <c r="C9" s="646">
        <f>SUM(C10:C12)</f>
        <v>43</v>
      </c>
      <c r="D9" s="646">
        <f>SUM(D10:D12)</f>
        <v>68</v>
      </c>
      <c r="E9" s="646">
        <f>SUM(E10:E12)</f>
        <v>104</v>
      </c>
      <c r="F9" s="646">
        <f>SUM(F10:F12)</f>
        <v>17</v>
      </c>
      <c r="G9" s="647">
        <f t="shared" si="0"/>
        <v>232</v>
      </c>
    </row>
    <row r="10" spans="1:7" ht="14.25">
      <c r="A10" s="68" t="s">
        <v>155</v>
      </c>
      <c r="B10" s="245"/>
      <c r="C10" s="646">
        <v>20</v>
      </c>
      <c r="D10" s="646">
        <f>1+61</f>
        <v>62</v>
      </c>
      <c r="E10" s="646">
        <f>14+90</f>
        <v>104</v>
      </c>
      <c r="F10" s="646">
        <v>17</v>
      </c>
      <c r="G10" s="647">
        <f t="shared" si="0"/>
        <v>203</v>
      </c>
    </row>
    <row r="11" spans="1:7" ht="14.25">
      <c r="A11" s="68" t="s">
        <v>156</v>
      </c>
      <c r="B11" s="245"/>
      <c r="C11" s="646">
        <f>5+18</f>
        <v>23</v>
      </c>
      <c r="D11" s="646">
        <f>5+1</f>
        <v>6</v>
      </c>
      <c r="E11" s="646"/>
      <c r="F11" s="646"/>
      <c r="G11" s="647">
        <f t="shared" si="0"/>
        <v>29</v>
      </c>
    </row>
    <row r="12" spans="1:7" ht="14.25">
      <c r="A12" s="68" t="s">
        <v>954</v>
      </c>
      <c r="B12" s="245"/>
      <c r="C12" s="646"/>
      <c r="D12" s="646"/>
      <c r="E12" s="646"/>
      <c r="F12" s="646"/>
      <c r="G12" s="647">
        <f t="shared" si="0"/>
        <v>0</v>
      </c>
    </row>
    <row r="13" spans="1:7" ht="14.25">
      <c r="A13" s="68" t="s">
        <v>391</v>
      </c>
      <c r="B13" s="245">
        <f>B4+B5-B9</f>
        <v>0</v>
      </c>
      <c r="C13" s="646">
        <f>C4+C5-C9</f>
        <v>678</v>
      </c>
      <c r="D13" s="646">
        <f>D4+D5-D9</f>
        <v>2180</v>
      </c>
      <c r="E13" s="646">
        <f>E4+E5-E9</f>
        <v>1293</v>
      </c>
      <c r="F13" s="646">
        <f>F4+F5-F9</f>
        <v>172</v>
      </c>
      <c r="G13" s="647">
        <f t="shared" si="0"/>
        <v>4323</v>
      </c>
    </row>
    <row r="14" spans="1:7" ht="14.25">
      <c r="A14" s="68" t="s">
        <v>392</v>
      </c>
      <c r="B14" s="245"/>
      <c r="C14" s="646">
        <f>129+1</f>
        <v>130</v>
      </c>
      <c r="D14" s="646">
        <f>20+959</f>
        <v>979</v>
      </c>
      <c r="E14" s="646">
        <v>338</v>
      </c>
      <c r="F14" s="646">
        <f>27+49</f>
        <v>76</v>
      </c>
      <c r="G14" s="647">
        <f t="shared" si="0"/>
        <v>1523</v>
      </c>
    </row>
    <row r="15" spans="1:7" ht="14.25">
      <c r="A15" s="68" t="s">
        <v>968</v>
      </c>
      <c r="B15" s="245"/>
      <c r="C15" s="646">
        <f>C16-C17</f>
        <v>23</v>
      </c>
      <c r="D15" s="646">
        <f>D16-D17</f>
        <v>549</v>
      </c>
      <c r="E15" s="646">
        <f>E16-E17</f>
        <v>284</v>
      </c>
      <c r="F15" s="646">
        <f>F16-F17</f>
        <v>62</v>
      </c>
      <c r="G15" s="647">
        <f t="shared" si="0"/>
        <v>918</v>
      </c>
    </row>
    <row r="16" spans="1:7" ht="14.25">
      <c r="A16" s="68" t="s">
        <v>154</v>
      </c>
      <c r="B16" s="245"/>
      <c r="C16" s="646">
        <f>23+1+1+2+2</f>
        <v>29</v>
      </c>
      <c r="D16" s="653">
        <f>423+6+35+58+39+41</f>
        <v>602</v>
      </c>
      <c r="E16" s="646">
        <f>20+140+63+63</f>
        <v>286</v>
      </c>
      <c r="F16" s="646">
        <f>5+52+3+7+7</f>
        <v>74</v>
      </c>
      <c r="G16" s="647">
        <f t="shared" si="0"/>
        <v>991</v>
      </c>
    </row>
    <row r="17" spans="1:8" ht="14.25">
      <c r="A17" s="68" t="s">
        <v>151</v>
      </c>
      <c r="B17" s="245"/>
      <c r="C17" s="646">
        <f>4+2</f>
        <v>6</v>
      </c>
      <c r="D17" s="646">
        <v>53</v>
      </c>
      <c r="E17" s="646">
        <v>2</v>
      </c>
      <c r="F17" s="646">
        <v>12</v>
      </c>
      <c r="G17" s="647">
        <f t="shared" si="0"/>
        <v>73</v>
      </c>
      <c r="H17" s="326"/>
    </row>
    <row r="18" spans="1:7" ht="14.25">
      <c r="A18" s="68"/>
      <c r="B18" s="245"/>
      <c r="C18" s="646"/>
      <c r="D18" s="646"/>
      <c r="E18" s="646"/>
      <c r="F18" s="646"/>
      <c r="G18" s="647"/>
    </row>
    <row r="19" spans="1:7" ht="14.25">
      <c r="A19" s="68" t="s">
        <v>969</v>
      </c>
      <c r="B19" s="245">
        <f>B14+B15</f>
        <v>0</v>
      </c>
      <c r="C19" s="646">
        <f>C14+C15</f>
        <v>153</v>
      </c>
      <c r="D19" s="646">
        <f>D14+D15</f>
        <v>1528</v>
      </c>
      <c r="E19" s="646">
        <f>E14+E15</f>
        <v>622</v>
      </c>
      <c r="F19" s="646">
        <f>F14+F15</f>
        <v>138</v>
      </c>
      <c r="G19" s="647">
        <f t="shared" si="0"/>
        <v>2441</v>
      </c>
    </row>
    <row r="20" spans="1:7" ht="14.25">
      <c r="A20" s="68" t="s">
        <v>314</v>
      </c>
      <c r="B20" s="245"/>
      <c r="C20" s="646"/>
      <c r="D20" s="646"/>
      <c r="E20" s="646"/>
      <c r="F20" s="646"/>
      <c r="G20" s="647">
        <f t="shared" si="0"/>
        <v>0</v>
      </c>
    </row>
    <row r="21" spans="1:7" ht="14.25">
      <c r="A21" s="68" t="s">
        <v>317</v>
      </c>
      <c r="B21" s="245"/>
      <c r="C21" s="646"/>
      <c r="D21" s="646"/>
      <c r="E21" s="646"/>
      <c r="F21" s="646"/>
      <c r="G21" s="647">
        <f t="shared" si="0"/>
        <v>0</v>
      </c>
    </row>
    <row r="22" spans="1:7" ht="14.25">
      <c r="A22" s="68" t="s">
        <v>318</v>
      </c>
      <c r="B22" s="245"/>
      <c r="C22" s="646"/>
      <c r="D22" s="646"/>
      <c r="E22" s="646"/>
      <c r="F22" s="646"/>
      <c r="G22" s="647">
        <f t="shared" si="0"/>
        <v>0</v>
      </c>
    </row>
    <row r="23" spans="1:7" ht="15">
      <c r="A23" s="68" t="s">
        <v>315</v>
      </c>
      <c r="B23" s="336">
        <f>B20+B21-B22</f>
        <v>0</v>
      </c>
      <c r="C23" s="648">
        <f>C20+C21-C22</f>
        <v>0</v>
      </c>
      <c r="D23" s="648">
        <f>D20+D21-D22</f>
        <v>0</v>
      </c>
      <c r="E23" s="648">
        <f>E20+E21-E22</f>
        <v>0</v>
      </c>
      <c r="F23" s="648">
        <f>F20+F21-F22</f>
        <v>0</v>
      </c>
      <c r="G23" s="649">
        <f t="shared" si="0"/>
        <v>0</v>
      </c>
    </row>
    <row r="24" spans="1:7" ht="15.75" thickBot="1">
      <c r="A24" s="69" t="s">
        <v>987</v>
      </c>
      <c r="B24" s="337">
        <f>B13-B19-B23</f>
        <v>0</v>
      </c>
      <c r="C24" s="650">
        <f>C13-C19-C23</f>
        <v>525</v>
      </c>
      <c r="D24" s="650">
        <f>D13-D19-D23</f>
        <v>652</v>
      </c>
      <c r="E24" s="650">
        <f>E13-E19-E23</f>
        <v>671</v>
      </c>
      <c r="F24" s="650">
        <f>F13-F19-F23</f>
        <v>34</v>
      </c>
      <c r="G24" s="651">
        <f t="shared" si="0"/>
        <v>1882</v>
      </c>
    </row>
    <row r="25" spans="3:7" ht="12.75">
      <c r="C25" s="652" t="s">
        <v>783</v>
      </c>
      <c r="D25" s="652" t="s">
        <v>783</v>
      </c>
      <c r="E25" s="652" t="s">
        <v>783</v>
      </c>
      <c r="F25" s="652" t="s">
        <v>783</v>
      </c>
      <c r="G25" s="652" t="s">
        <v>783</v>
      </c>
    </row>
    <row r="27" spans="3:7" ht="12.75">
      <c r="C27" s="326">
        <f>C4-C14</f>
        <v>521</v>
      </c>
      <c r="D27" s="326">
        <f>D4-D14</f>
        <v>932</v>
      </c>
      <c r="E27" s="326">
        <f>E4-E14</f>
        <v>470</v>
      </c>
      <c r="F27" s="326">
        <f>F4-F14</f>
        <v>18</v>
      </c>
      <c r="G27" s="326">
        <f>G4-G14</f>
        <v>1941</v>
      </c>
    </row>
    <row r="28" spans="3:7" ht="12.75">
      <c r="C28" s="652" t="s">
        <v>783</v>
      </c>
      <c r="D28" s="652" t="s">
        <v>783</v>
      </c>
      <c r="E28" s="652" t="s">
        <v>783</v>
      </c>
      <c r="F28" s="652" t="s">
        <v>783</v>
      </c>
      <c r="G28" s="652" t="s">
        <v>783</v>
      </c>
    </row>
    <row r="29" ht="12.75">
      <c r="G29" s="326"/>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worksheet>
</file>

<file path=xl/worksheets/sheet6.xml><?xml version="1.0" encoding="utf-8"?>
<worksheet xmlns="http://schemas.openxmlformats.org/spreadsheetml/2006/main" xmlns:r="http://schemas.openxmlformats.org/officeDocument/2006/relationships">
  <dimension ref="A1:M19"/>
  <sheetViews>
    <sheetView zoomScale="70" zoomScaleNormal="70" workbookViewId="0" topLeftCell="A2">
      <pane xSplit="1" ySplit="3" topLeftCell="B5" activePane="bottomRight" state="frozen"/>
      <selection pane="topLeft" activeCell="A2" sqref="A2"/>
      <selection pane="topRight" activeCell="B2" sqref="B2"/>
      <selection pane="bottomLeft" activeCell="A5" sqref="A5"/>
      <selection pane="bottomRight" activeCell="A2" sqref="A2"/>
    </sheetView>
  </sheetViews>
  <sheetFormatPr defaultColWidth="9.00390625" defaultRowHeight="12.75"/>
  <cols>
    <col min="1" max="1" width="4.00390625" style="0" customWidth="1"/>
    <col min="2" max="2" width="28.375" style="0" customWidth="1"/>
    <col min="3" max="3" width="16.875" style="0" customWidth="1"/>
    <col min="4" max="4" width="20.625" style="0" customWidth="1"/>
    <col min="5" max="5" width="31.125" style="0" customWidth="1"/>
    <col min="6" max="6" width="32.625" style="0" customWidth="1"/>
    <col min="7" max="7" width="15.25390625" style="0" customWidth="1"/>
    <col min="8" max="8" width="17.625" style="0" customWidth="1"/>
    <col min="9" max="12" width="15.25390625" style="0" customWidth="1"/>
    <col min="13" max="13" width="25.25390625" style="0" customWidth="1"/>
  </cols>
  <sheetData>
    <row r="1" spans="1:13" ht="16.5" thickBot="1">
      <c r="A1" s="15" t="s">
        <v>294</v>
      </c>
      <c r="B1" s="105"/>
      <c r="C1" s="99"/>
      <c r="D1" s="99"/>
      <c r="E1" s="99"/>
      <c r="F1" s="99"/>
      <c r="G1" s="99"/>
      <c r="H1" s="99"/>
      <c r="I1" s="99"/>
      <c r="J1" s="99"/>
      <c r="K1" s="99"/>
      <c r="L1" s="99"/>
      <c r="M1" s="99"/>
    </row>
    <row r="2" spans="1:13" ht="14.25">
      <c r="A2" s="118" t="s">
        <v>440</v>
      </c>
      <c r="B2" s="134"/>
      <c r="C2" s="120"/>
      <c r="D2" s="120"/>
      <c r="E2" s="120"/>
      <c r="F2" s="120"/>
      <c r="G2" s="120"/>
      <c r="H2" s="120"/>
      <c r="I2" s="120"/>
      <c r="J2" s="120"/>
      <c r="K2" s="120"/>
      <c r="L2" s="120"/>
      <c r="M2" s="121"/>
    </row>
    <row r="3" spans="1:13" ht="14.25">
      <c r="A3" s="122" t="s">
        <v>297</v>
      </c>
      <c r="B3" s="125" t="s">
        <v>298</v>
      </c>
      <c r="C3" s="123" t="s">
        <v>993</v>
      </c>
      <c r="D3" s="123" t="s">
        <v>994</v>
      </c>
      <c r="E3" s="124" t="s">
        <v>995</v>
      </c>
      <c r="F3" s="125" t="s">
        <v>996</v>
      </c>
      <c r="G3" s="123" t="s">
        <v>997</v>
      </c>
      <c r="H3" s="123" t="s">
        <v>998</v>
      </c>
      <c r="I3" s="126" t="s">
        <v>999</v>
      </c>
      <c r="J3" s="127" t="s">
        <v>1000</v>
      </c>
      <c r="K3" s="128" t="s">
        <v>1001</v>
      </c>
      <c r="L3" s="128" t="s">
        <v>1002</v>
      </c>
      <c r="M3" s="129" t="s">
        <v>1003</v>
      </c>
    </row>
    <row r="4" spans="1:13" ht="94.5" customHeight="1">
      <c r="A4" s="138"/>
      <c r="B4" s="135" t="s">
        <v>299</v>
      </c>
      <c r="C4" s="131" t="s">
        <v>1004</v>
      </c>
      <c r="D4" s="132" t="s">
        <v>756</v>
      </c>
      <c r="E4" s="132" t="s">
        <v>295</v>
      </c>
      <c r="F4" s="132" t="s">
        <v>1153</v>
      </c>
      <c r="G4" s="132" t="s">
        <v>1154</v>
      </c>
      <c r="H4" s="132" t="s">
        <v>1155</v>
      </c>
      <c r="I4" s="132" t="s">
        <v>1156</v>
      </c>
      <c r="J4" s="132" t="s">
        <v>1157</v>
      </c>
      <c r="K4" s="132" t="s">
        <v>1158</v>
      </c>
      <c r="L4" s="132" t="s">
        <v>757</v>
      </c>
      <c r="M4" s="133" t="s">
        <v>1159</v>
      </c>
    </row>
    <row r="5" spans="1:13" s="1" customFormat="1" ht="99.75">
      <c r="A5" s="521" t="s">
        <v>1177</v>
      </c>
      <c r="B5" s="522" t="s">
        <v>1178</v>
      </c>
      <c r="C5" s="522" t="s">
        <v>1179</v>
      </c>
      <c r="D5" s="522" t="s">
        <v>1180</v>
      </c>
      <c r="E5" s="523" t="s">
        <v>1181</v>
      </c>
      <c r="F5" s="523" t="s">
        <v>441</v>
      </c>
      <c r="G5" s="522" t="s">
        <v>1182</v>
      </c>
      <c r="H5" s="524">
        <v>1855</v>
      </c>
      <c r="I5" s="524">
        <v>1855</v>
      </c>
      <c r="J5" s="524">
        <f>H5-I5</f>
        <v>0</v>
      </c>
      <c r="K5" s="669">
        <v>0.329</v>
      </c>
      <c r="L5" s="669">
        <v>0.329</v>
      </c>
      <c r="M5" s="667" t="s">
        <v>348</v>
      </c>
    </row>
    <row r="6" spans="1:13" s="1" customFormat="1" ht="71.25">
      <c r="A6" s="521" t="s">
        <v>1183</v>
      </c>
      <c r="B6" s="522" t="s">
        <v>1184</v>
      </c>
      <c r="C6" s="522" t="s">
        <v>1185</v>
      </c>
      <c r="D6" s="522" t="s">
        <v>1186</v>
      </c>
      <c r="E6" s="522" t="s">
        <v>1187</v>
      </c>
      <c r="F6" s="523" t="s">
        <v>1188</v>
      </c>
      <c r="G6" s="522" t="s">
        <v>1189</v>
      </c>
      <c r="H6" s="524">
        <v>13033</v>
      </c>
      <c r="I6" s="524">
        <v>4589</v>
      </c>
      <c r="J6" s="524">
        <f>H6-I6</f>
        <v>8444</v>
      </c>
      <c r="K6" s="669">
        <v>0.7144</v>
      </c>
      <c r="L6" s="669">
        <v>0.7144</v>
      </c>
      <c r="M6" s="667" t="s">
        <v>348</v>
      </c>
    </row>
    <row r="7" spans="1:13" s="1" customFormat="1" ht="85.5">
      <c r="A7" s="521" t="s">
        <v>1190</v>
      </c>
      <c r="B7" s="525" t="s">
        <v>1192</v>
      </c>
      <c r="C7" s="526" t="s">
        <v>591</v>
      </c>
      <c r="D7" s="527" t="s">
        <v>592</v>
      </c>
      <c r="E7" s="525" t="s">
        <v>1187</v>
      </c>
      <c r="F7" s="523" t="s">
        <v>1188</v>
      </c>
      <c r="G7" s="522" t="s">
        <v>593</v>
      </c>
      <c r="H7" s="524">
        <v>1697</v>
      </c>
      <c r="I7" s="524">
        <v>0</v>
      </c>
      <c r="J7" s="524">
        <f aca="true" t="shared" si="0" ref="J7:J13">H7-I7</f>
        <v>1697</v>
      </c>
      <c r="K7" s="669">
        <v>0.6666</v>
      </c>
      <c r="L7" s="669">
        <v>0.6666</v>
      </c>
      <c r="M7" s="667" t="s">
        <v>348</v>
      </c>
    </row>
    <row r="8" spans="1:13" s="1" customFormat="1" ht="99.75">
      <c r="A8" s="521" t="s">
        <v>1191</v>
      </c>
      <c r="B8" s="525" t="s">
        <v>595</v>
      </c>
      <c r="C8" s="526" t="s">
        <v>338</v>
      </c>
      <c r="D8" s="527" t="s">
        <v>596</v>
      </c>
      <c r="E8" s="525" t="s">
        <v>1187</v>
      </c>
      <c r="F8" s="523" t="s">
        <v>441</v>
      </c>
      <c r="G8" s="522" t="s">
        <v>597</v>
      </c>
      <c r="H8" s="524">
        <v>2793</v>
      </c>
      <c r="I8" s="524">
        <v>396</v>
      </c>
      <c r="J8" s="524">
        <f t="shared" si="0"/>
        <v>2397</v>
      </c>
      <c r="K8" s="669">
        <v>0.9447</v>
      </c>
      <c r="L8" s="669">
        <v>0.9447</v>
      </c>
      <c r="M8" s="667" t="s">
        <v>348</v>
      </c>
    </row>
    <row r="9" spans="1:13" s="1" customFormat="1" ht="99.75">
      <c r="A9" s="521" t="s">
        <v>594</v>
      </c>
      <c r="B9" s="525" t="s">
        <v>599</v>
      </c>
      <c r="C9" s="526" t="s">
        <v>600</v>
      </c>
      <c r="D9" s="527" t="s">
        <v>601</v>
      </c>
      <c r="E9" s="525" t="s">
        <v>1181</v>
      </c>
      <c r="F9" s="523" t="s">
        <v>442</v>
      </c>
      <c r="G9" s="522" t="s">
        <v>602</v>
      </c>
      <c r="H9" s="524">
        <v>10200</v>
      </c>
      <c r="I9" s="524">
        <v>0</v>
      </c>
      <c r="J9" s="524">
        <v>10200</v>
      </c>
      <c r="K9" s="669">
        <v>0.3605</v>
      </c>
      <c r="L9" s="669">
        <v>0.3605</v>
      </c>
      <c r="M9" s="667" t="s">
        <v>348</v>
      </c>
    </row>
    <row r="10" spans="1:13" s="1" customFormat="1" ht="57">
      <c r="A10" s="521" t="s">
        <v>598</v>
      </c>
      <c r="B10" s="525" t="s">
        <v>604</v>
      </c>
      <c r="C10" s="526" t="s">
        <v>605</v>
      </c>
      <c r="D10" s="527" t="s">
        <v>607</v>
      </c>
      <c r="E10" s="525" t="s">
        <v>1187</v>
      </c>
      <c r="F10" s="523" t="s">
        <v>441</v>
      </c>
      <c r="G10" s="522" t="s">
        <v>608</v>
      </c>
      <c r="H10" s="524">
        <v>1199</v>
      </c>
      <c r="I10" s="524">
        <v>1199</v>
      </c>
      <c r="J10" s="524">
        <f t="shared" si="0"/>
        <v>0</v>
      </c>
      <c r="K10" s="669">
        <v>0.7371</v>
      </c>
      <c r="L10" s="669">
        <v>0.7371</v>
      </c>
      <c r="M10" s="667" t="s">
        <v>348</v>
      </c>
    </row>
    <row r="11" spans="1:13" s="1" customFormat="1" ht="85.5">
      <c r="A11" s="521" t="s">
        <v>603</v>
      </c>
      <c r="B11" s="525" t="s">
        <v>610</v>
      </c>
      <c r="C11" s="526" t="s">
        <v>1195</v>
      </c>
      <c r="D11" s="527" t="s">
        <v>1196</v>
      </c>
      <c r="E11" s="525" t="s">
        <v>1187</v>
      </c>
      <c r="F11" s="523" t="s">
        <v>441</v>
      </c>
      <c r="G11" s="526" t="s">
        <v>1197</v>
      </c>
      <c r="H11" s="524">
        <v>364</v>
      </c>
      <c r="I11" s="524">
        <v>364</v>
      </c>
      <c r="J11" s="524">
        <f t="shared" si="0"/>
        <v>0</v>
      </c>
      <c r="K11" s="669">
        <v>0.7156</v>
      </c>
      <c r="L11" s="669">
        <v>0.7156</v>
      </c>
      <c r="M11" s="667" t="s">
        <v>348</v>
      </c>
    </row>
    <row r="12" spans="1:13" s="1" customFormat="1" ht="85.5">
      <c r="A12" s="521" t="s">
        <v>609</v>
      </c>
      <c r="B12" s="525" t="s">
        <v>1199</v>
      </c>
      <c r="C12" s="526" t="s">
        <v>1200</v>
      </c>
      <c r="D12" s="527" t="s">
        <v>1196</v>
      </c>
      <c r="E12" s="525" t="s">
        <v>1187</v>
      </c>
      <c r="F12" s="525" t="s">
        <v>1188</v>
      </c>
      <c r="G12" s="526" t="s">
        <v>621</v>
      </c>
      <c r="H12" s="524">
        <v>4008</v>
      </c>
      <c r="I12" s="524">
        <v>319</v>
      </c>
      <c r="J12" s="524">
        <f t="shared" si="0"/>
        <v>3689</v>
      </c>
      <c r="K12" s="669">
        <v>0.9756</v>
      </c>
      <c r="L12" s="669">
        <v>0.9756</v>
      </c>
      <c r="M12" s="667" t="s">
        <v>348</v>
      </c>
    </row>
    <row r="13" spans="1:13" s="1" customFormat="1" ht="100.5" thickBot="1">
      <c r="A13" s="521" t="s">
        <v>1198</v>
      </c>
      <c r="B13" s="528" t="s">
        <v>631</v>
      </c>
      <c r="C13" s="529" t="s">
        <v>340</v>
      </c>
      <c r="D13" s="527" t="s">
        <v>632</v>
      </c>
      <c r="E13" s="525" t="s">
        <v>1187</v>
      </c>
      <c r="F13" s="523" t="s">
        <v>441</v>
      </c>
      <c r="G13" s="526" t="s">
        <v>633</v>
      </c>
      <c r="H13" s="524">
        <v>37</v>
      </c>
      <c r="I13" s="524">
        <v>0</v>
      </c>
      <c r="J13" s="524">
        <f t="shared" si="0"/>
        <v>37</v>
      </c>
      <c r="K13" s="669">
        <v>0.4022</v>
      </c>
      <c r="L13" s="669">
        <v>0.4022</v>
      </c>
      <c r="M13" s="667" t="s">
        <v>634</v>
      </c>
    </row>
    <row r="14" spans="1:13" ht="129" thickBot="1">
      <c r="A14" s="521" t="s">
        <v>630</v>
      </c>
      <c r="B14" s="528" t="s">
        <v>923</v>
      </c>
      <c r="C14" s="529" t="s">
        <v>339</v>
      </c>
      <c r="D14" s="530" t="s">
        <v>1140</v>
      </c>
      <c r="E14" s="528" t="s">
        <v>1187</v>
      </c>
      <c r="F14" s="531" t="s">
        <v>441</v>
      </c>
      <c r="G14" s="529" t="s">
        <v>1141</v>
      </c>
      <c r="H14" s="532">
        <v>33</v>
      </c>
      <c r="I14" s="532">
        <v>0</v>
      </c>
      <c r="J14" s="532">
        <f>H14-I14</f>
        <v>33</v>
      </c>
      <c r="K14" s="670">
        <v>0.4</v>
      </c>
      <c r="L14" s="670">
        <v>0.4</v>
      </c>
      <c r="M14" s="668"/>
    </row>
    <row r="15" spans="1:13" ht="100.5" thickBot="1">
      <c r="A15" s="521" t="s">
        <v>1142</v>
      </c>
      <c r="B15" s="528" t="s">
        <v>1143</v>
      </c>
      <c r="C15" s="529" t="s">
        <v>605</v>
      </c>
      <c r="D15" s="673" t="s">
        <v>1144</v>
      </c>
      <c r="E15" s="674" t="s">
        <v>1187</v>
      </c>
      <c r="F15" s="675" t="s">
        <v>441</v>
      </c>
      <c r="G15" s="676" t="s">
        <v>1145</v>
      </c>
      <c r="H15" s="677">
        <v>75</v>
      </c>
      <c r="I15" s="677">
        <v>0</v>
      </c>
      <c r="J15" s="677">
        <f>H15-I15</f>
        <v>75</v>
      </c>
      <c r="K15" s="678">
        <v>0.75</v>
      </c>
      <c r="L15" s="678">
        <v>0.75</v>
      </c>
      <c r="M15" s="679"/>
    </row>
    <row r="17" ht="12.75">
      <c r="J17" s="326"/>
    </row>
    <row r="19" ht="12.75">
      <c r="J19" s="326"/>
    </row>
  </sheetData>
  <printOptions/>
  <pageMargins left="0.25" right="0.25" top="0.74" bottom="0.39" header="0.42" footer="0.27"/>
  <pageSetup fitToHeight="2" horizontalDpi="600" verticalDpi="600" orientation="landscape" paperSize="9" scale="57" r:id="rId3"/>
  <headerFooter alignWithMargins="0">
    <oddHeader>&amp;LMCI Management Spółka Akcyjna&amp;CSA-RS 2002&amp;Rw tys. zł</oddHeader>
    <oddFooter>&amp;CKomisja Papierów Wartościowych i Giełd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S18"/>
  <sheetViews>
    <sheetView zoomScale="70" zoomScaleNormal="70" workbookViewId="0" topLeftCell="A1">
      <selection activeCell="A1" sqref="A1"/>
    </sheetView>
  </sheetViews>
  <sheetFormatPr defaultColWidth="9.00390625" defaultRowHeight="12.75"/>
  <cols>
    <col min="1" max="1" width="3.625" style="0" customWidth="1"/>
    <col min="2" max="2" width="20.25390625" style="0" customWidth="1"/>
    <col min="3" max="3" width="13.875" style="0" customWidth="1"/>
    <col min="4" max="9" width="12.125" style="0" customWidth="1"/>
    <col min="10" max="11" width="15.375" style="0" customWidth="1"/>
    <col min="12" max="12" width="15.125" style="0" customWidth="1"/>
    <col min="13" max="13" width="11.875" style="0" customWidth="1"/>
    <col min="14" max="14" width="15.125" style="0" customWidth="1"/>
    <col min="15" max="15" width="15.25390625" style="0" customWidth="1"/>
    <col min="16" max="17" width="12.125" style="0" customWidth="1"/>
    <col min="18" max="19" width="14.375" style="0" customWidth="1"/>
  </cols>
  <sheetData>
    <row r="1" spans="1:19" ht="16.5" thickBot="1">
      <c r="A1" s="15" t="s">
        <v>681</v>
      </c>
      <c r="B1" s="105"/>
      <c r="C1" s="99"/>
      <c r="D1" s="99"/>
      <c r="E1" s="99"/>
      <c r="F1" s="99"/>
      <c r="G1" s="99"/>
      <c r="H1" s="99"/>
      <c r="I1" s="99"/>
      <c r="J1" s="99"/>
      <c r="K1" s="99"/>
      <c r="L1" s="99"/>
      <c r="M1" s="99"/>
      <c r="N1" s="99"/>
      <c r="O1" s="99"/>
      <c r="P1" s="99"/>
      <c r="Q1" s="99"/>
      <c r="R1" s="99"/>
      <c r="S1" s="99"/>
    </row>
    <row r="2" spans="1:19" ht="15">
      <c r="A2" s="118" t="s">
        <v>568</v>
      </c>
      <c r="B2" s="139"/>
      <c r="C2" s="17"/>
      <c r="D2" s="17"/>
      <c r="E2" s="17"/>
      <c r="F2" s="17"/>
      <c r="G2" s="17"/>
      <c r="H2" s="17"/>
      <c r="I2" s="17"/>
      <c r="J2" s="17"/>
      <c r="K2" s="17"/>
      <c r="L2" s="17"/>
      <c r="M2" s="17"/>
      <c r="N2" s="17"/>
      <c r="O2" s="17"/>
      <c r="P2" s="17"/>
      <c r="Q2" s="17"/>
      <c r="R2" s="17"/>
      <c r="S2" s="18"/>
    </row>
    <row r="3" spans="1:19" ht="12.75">
      <c r="A3" s="34" t="s">
        <v>297</v>
      </c>
      <c r="B3" s="33" t="s">
        <v>298</v>
      </c>
      <c r="C3" s="36" t="s">
        <v>569</v>
      </c>
      <c r="D3" s="37"/>
      <c r="E3" s="38"/>
      <c r="F3" s="141" t="s">
        <v>305</v>
      </c>
      <c r="G3" s="37"/>
      <c r="H3" s="37"/>
      <c r="I3" s="39"/>
      <c r="J3" s="35" t="s">
        <v>914</v>
      </c>
      <c r="K3" s="142" t="s">
        <v>306</v>
      </c>
      <c r="L3" s="40"/>
      <c r="M3" s="48" t="s">
        <v>571</v>
      </c>
      <c r="N3" s="143" t="s">
        <v>307</v>
      </c>
      <c r="O3" s="47"/>
      <c r="P3" s="7" t="s">
        <v>572</v>
      </c>
      <c r="Q3" s="7" t="s">
        <v>573</v>
      </c>
      <c r="R3" s="7" t="s">
        <v>635</v>
      </c>
      <c r="S3" s="23" t="s">
        <v>636</v>
      </c>
    </row>
    <row r="4" spans="1:19" s="288" customFormat="1" ht="54.75" customHeight="1">
      <c r="A4" s="280"/>
      <c r="B4" s="281" t="s">
        <v>300</v>
      </c>
      <c r="C4" s="282" t="s">
        <v>301</v>
      </c>
      <c r="D4" s="283"/>
      <c r="E4" s="283"/>
      <c r="F4" s="283"/>
      <c r="G4" s="283"/>
      <c r="H4" s="283"/>
      <c r="I4" s="284"/>
      <c r="J4" s="285" t="s">
        <v>303</v>
      </c>
      <c r="K4" s="533"/>
      <c r="L4" s="284"/>
      <c r="M4" s="534" t="s">
        <v>637</v>
      </c>
      <c r="N4" s="533"/>
      <c r="O4" s="284"/>
      <c r="P4" s="286" t="s">
        <v>638</v>
      </c>
      <c r="Q4" s="534" t="s">
        <v>639</v>
      </c>
      <c r="R4" s="286" t="s">
        <v>641</v>
      </c>
      <c r="S4" s="287" t="s">
        <v>640</v>
      </c>
    </row>
    <row r="5" spans="1:19" ht="76.5">
      <c r="A5" s="27"/>
      <c r="B5" s="140"/>
      <c r="C5" s="46"/>
      <c r="D5" s="19" t="s">
        <v>570</v>
      </c>
      <c r="E5" s="19" t="s">
        <v>910</v>
      </c>
      <c r="F5" s="19" t="s">
        <v>911</v>
      </c>
      <c r="G5" s="43" t="s">
        <v>302</v>
      </c>
      <c r="H5" s="44"/>
      <c r="I5" s="29"/>
      <c r="J5" s="28" t="s">
        <v>304</v>
      </c>
      <c r="K5" s="535"/>
      <c r="L5" s="41"/>
      <c r="M5" s="536"/>
      <c r="N5" s="535"/>
      <c r="O5" s="41"/>
      <c r="P5" s="45"/>
      <c r="Q5" s="535"/>
      <c r="R5" s="51" t="s">
        <v>642</v>
      </c>
      <c r="S5" s="32" t="s">
        <v>643</v>
      </c>
    </row>
    <row r="6" spans="1:19" ht="51">
      <c r="A6" s="26"/>
      <c r="B6" s="41"/>
      <c r="C6" s="20"/>
      <c r="D6" s="20"/>
      <c r="E6" s="20"/>
      <c r="F6" s="20"/>
      <c r="G6" s="20"/>
      <c r="H6" s="21" t="s">
        <v>912</v>
      </c>
      <c r="I6" s="21" t="s">
        <v>913</v>
      </c>
      <c r="J6" s="42"/>
      <c r="K6" s="16" t="s">
        <v>899</v>
      </c>
      <c r="L6" s="16" t="s">
        <v>900</v>
      </c>
      <c r="M6" s="20"/>
      <c r="N6" s="16" t="s">
        <v>876</v>
      </c>
      <c r="O6" s="16" t="s">
        <v>877</v>
      </c>
      <c r="P6" s="20"/>
      <c r="Q6" s="20"/>
      <c r="R6" s="20"/>
      <c r="S6" s="49"/>
    </row>
    <row r="7" spans="1:19" s="326" customFormat="1" ht="12.75">
      <c r="A7" s="353">
        <v>1</v>
      </c>
      <c r="B7" s="537" t="str">
        <f>'[1]no_4L'!B5</f>
        <v>Bankier.pl S.A. </v>
      </c>
      <c r="C7" s="661">
        <f>D7+E7+F7+G7</f>
        <v>-1005</v>
      </c>
      <c r="D7" s="661">
        <v>3295</v>
      </c>
      <c r="E7" s="661">
        <v>0</v>
      </c>
      <c r="F7" s="661">
        <v>2936</v>
      </c>
      <c r="G7" s="661">
        <f>H7+I7</f>
        <v>-7236</v>
      </c>
      <c r="H7" s="661">
        <v>-4332</v>
      </c>
      <c r="I7" s="661">
        <v>-2904</v>
      </c>
      <c r="J7" s="661">
        <v>2527</v>
      </c>
      <c r="K7" s="661">
        <v>0</v>
      </c>
      <c r="L7" s="661">
        <v>2527</v>
      </c>
      <c r="M7" s="661">
        <v>312</v>
      </c>
      <c r="N7" s="661">
        <v>0</v>
      </c>
      <c r="O7" s="661">
        <v>312</v>
      </c>
      <c r="P7" s="661">
        <v>1590</v>
      </c>
      <c r="Q7" s="661">
        <v>1638</v>
      </c>
      <c r="R7" s="661">
        <v>0</v>
      </c>
      <c r="S7" s="664">
        <v>0</v>
      </c>
    </row>
    <row r="8" spans="1:19" s="672" customFormat="1" ht="12.75">
      <c r="A8" s="671">
        <v>2</v>
      </c>
      <c r="B8" s="537" t="s">
        <v>443</v>
      </c>
      <c r="C8" s="661">
        <f aca="true" t="shared" si="0" ref="C8:C17">D8+E8+F8+G8</f>
        <v>-2961</v>
      </c>
      <c r="D8" s="661">
        <v>2114</v>
      </c>
      <c r="E8" s="661">
        <v>0</v>
      </c>
      <c r="F8" s="661">
        <v>6171</v>
      </c>
      <c r="G8" s="661">
        <f aca="true" t="shared" si="1" ref="G8:G17">H8+I8</f>
        <v>-11246</v>
      </c>
      <c r="H8" s="661">
        <v>-7834</v>
      </c>
      <c r="I8" s="661">
        <v>-3412</v>
      </c>
      <c r="J8" s="661">
        <v>16095</v>
      </c>
      <c r="K8" s="661">
        <v>2282</v>
      </c>
      <c r="L8" s="661">
        <v>13481</v>
      </c>
      <c r="M8" s="661">
        <f>SUM(N8:O8)</f>
        <v>7767</v>
      </c>
      <c r="N8" s="661">
        <v>0</v>
      </c>
      <c r="O8" s="661">
        <v>7767</v>
      </c>
      <c r="P8" s="661">
        <v>13134</v>
      </c>
      <c r="Q8" s="661">
        <v>27371</v>
      </c>
      <c r="R8" s="661">
        <v>0</v>
      </c>
      <c r="S8" s="664">
        <v>0</v>
      </c>
    </row>
    <row r="9" spans="1:19" s="672" customFormat="1" ht="12.75">
      <c r="A9" s="671">
        <v>3</v>
      </c>
      <c r="B9" s="537" t="str">
        <f>'[1]no_4L'!B7</f>
        <v>Process4e S.A.</v>
      </c>
      <c r="C9" s="661">
        <f t="shared" si="0"/>
        <v>2773</v>
      </c>
      <c r="D9" s="661">
        <v>2500</v>
      </c>
      <c r="E9" s="661">
        <v>0</v>
      </c>
      <c r="F9" s="661">
        <v>0</v>
      </c>
      <c r="G9" s="661">
        <f t="shared" si="1"/>
        <v>273</v>
      </c>
      <c r="H9" s="661">
        <v>-77</v>
      </c>
      <c r="I9" s="661">
        <v>350</v>
      </c>
      <c r="J9" s="661">
        <v>553</v>
      </c>
      <c r="K9" s="661">
        <v>0</v>
      </c>
      <c r="L9" s="661">
        <v>355</v>
      </c>
      <c r="M9" s="661">
        <v>599</v>
      </c>
      <c r="N9" s="661">
        <v>0</v>
      </c>
      <c r="O9" s="661">
        <v>599</v>
      </c>
      <c r="P9" s="661">
        <v>3326</v>
      </c>
      <c r="Q9" s="661">
        <v>3538</v>
      </c>
      <c r="R9" s="661">
        <v>0</v>
      </c>
      <c r="S9" s="664">
        <v>0</v>
      </c>
    </row>
    <row r="10" spans="1:19" s="326" customFormat="1" ht="12.75">
      <c r="A10" s="353">
        <v>4</v>
      </c>
      <c r="B10" s="537" t="str">
        <f>'[1]no_4L'!B8</f>
        <v>Travelplanet S.A. </v>
      </c>
      <c r="C10" s="661">
        <f t="shared" si="0"/>
        <v>403</v>
      </c>
      <c r="D10" s="661">
        <v>1718</v>
      </c>
      <c r="E10" s="661">
        <v>0</v>
      </c>
      <c r="F10" s="661">
        <v>1218</v>
      </c>
      <c r="G10" s="661">
        <f t="shared" si="1"/>
        <v>-2533</v>
      </c>
      <c r="H10" s="661">
        <v>-1584</v>
      </c>
      <c r="I10" s="661">
        <v>-949</v>
      </c>
      <c r="J10" s="661">
        <f>SUM(K10:L10)</f>
        <v>270</v>
      </c>
      <c r="K10" s="661">
        <v>40</v>
      </c>
      <c r="L10" s="661">
        <v>230</v>
      </c>
      <c r="M10" s="661">
        <f>SUM(N10:O10)</f>
        <v>306</v>
      </c>
      <c r="N10" s="661">
        <v>0</v>
      </c>
      <c r="O10" s="661">
        <v>306</v>
      </c>
      <c r="P10" s="661">
        <v>673</v>
      </c>
      <c r="Q10" s="661">
        <v>534</v>
      </c>
      <c r="R10" s="661">
        <v>0</v>
      </c>
      <c r="S10" s="664">
        <v>0</v>
      </c>
    </row>
    <row r="11" spans="1:19" s="326" customFormat="1" ht="12.75">
      <c r="A11" s="353">
        <v>5</v>
      </c>
      <c r="B11" s="537" t="str">
        <f>'[1]no_4L'!B9</f>
        <v>JTT Computer S.A. </v>
      </c>
      <c r="C11" s="661">
        <f t="shared" si="0"/>
        <v>0</v>
      </c>
      <c r="D11" s="661"/>
      <c r="E11" s="661"/>
      <c r="F11" s="661"/>
      <c r="G11" s="661">
        <f t="shared" si="1"/>
        <v>0</v>
      </c>
      <c r="H11" s="661"/>
      <c r="I11" s="661"/>
      <c r="J11" s="661">
        <f>SUM(K11:L11)</f>
        <v>0</v>
      </c>
      <c r="K11" s="661"/>
      <c r="L11" s="661"/>
      <c r="M11" s="661">
        <f>SUM(N11:O11)</f>
        <v>0</v>
      </c>
      <c r="N11" s="661"/>
      <c r="O11" s="661"/>
      <c r="P11" s="661"/>
      <c r="Q11" s="661"/>
      <c r="R11" s="661">
        <v>0</v>
      </c>
      <c r="S11" s="664">
        <v>0</v>
      </c>
    </row>
    <row r="12" spans="1:19" ht="12.75">
      <c r="A12" s="353">
        <v>6</v>
      </c>
      <c r="B12" s="537" t="str">
        <f>'[1]no_4L'!B10</f>
        <v>Biprogeo S.A. </v>
      </c>
      <c r="C12" s="661">
        <f t="shared" si="0"/>
        <v>-379</v>
      </c>
      <c r="D12" s="661">
        <v>1940</v>
      </c>
      <c r="E12" s="661">
        <v>0</v>
      </c>
      <c r="F12" s="661">
        <v>304</v>
      </c>
      <c r="G12" s="661">
        <f t="shared" si="1"/>
        <v>-2623</v>
      </c>
      <c r="H12" s="661">
        <v>-2299</v>
      </c>
      <c r="I12" s="661">
        <v>-324</v>
      </c>
      <c r="J12" s="661">
        <v>1109</v>
      </c>
      <c r="K12" s="661"/>
      <c r="L12" s="661">
        <v>1109</v>
      </c>
      <c r="M12" s="661">
        <v>476</v>
      </c>
      <c r="N12" s="661"/>
      <c r="O12" s="661">
        <v>476</v>
      </c>
      <c r="P12" s="661">
        <v>778</v>
      </c>
      <c r="Q12" s="661">
        <v>3302</v>
      </c>
      <c r="R12" s="661">
        <v>0</v>
      </c>
      <c r="S12" s="664">
        <v>0</v>
      </c>
    </row>
    <row r="13" spans="1:19" s="50" customFormat="1" ht="12.75">
      <c r="A13" s="671">
        <v>7</v>
      </c>
      <c r="B13" s="537" t="str">
        <f>'[1]no_4L'!B11</f>
        <v>Synergy S.A. </v>
      </c>
      <c r="C13" s="661">
        <f t="shared" si="0"/>
        <v>113</v>
      </c>
      <c r="D13" s="661">
        <v>503</v>
      </c>
      <c r="E13" s="661">
        <v>0</v>
      </c>
      <c r="F13" s="661">
        <v>0</v>
      </c>
      <c r="G13" s="661">
        <f t="shared" si="1"/>
        <v>-390</v>
      </c>
      <c r="H13" s="661">
        <v>0</v>
      </c>
      <c r="I13" s="661">
        <v>-390</v>
      </c>
      <c r="J13" s="661">
        <v>1024</v>
      </c>
      <c r="K13" s="661"/>
      <c r="L13" s="661">
        <v>1024</v>
      </c>
      <c r="M13" s="661">
        <v>714</v>
      </c>
      <c r="N13" s="661">
        <v>0</v>
      </c>
      <c r="O13" s="661">
        <v>714</v>
      </c>
      <c r="P13" s="661">
        <v>1238</v>
      </c>
      <c r="Q13" s="661">
        <v>6164</v>
      </c>
      <c r="R13" s="661">
        <v>0</v>
      </c>
      <c r="S13" s="664">
        <v>0</v>
      </c>
    </row>
    <row r="14" spans="1:19" s="50" customFormat="1" ht="12.75">
      <c r="A14" s="671">
        <v>8</v>
      </c>
      <c r="B14" s="537" t="str">
        <f>'[1]no_4L'!B12</f>
        <v>S4e S.A. </v>
      </c>
      <c r="C14" s="661">
        <f t="shared" si="0"/>
        <v>2286</v>
      </c>
      <c r="D14" s="661">
        <v>4100</v>
      </c>
      <c r="E14" s="661">
        <v>-50</v>
      </c>
      <c r="F14" s="661">
        <v>0</v>
      </c>
      <c r="G14" s="661">
        <f t="shared" si="1"/>
        <v>-1764</v>
      </c>
      <c r="H14" s="661">
        <v>-1053</v>
      </c>
      <c r="I14" s="661">
        <v>-711</v>
      </c>
      <c r="J14" s="661">
        <v>1208</v>
      </c>
      <c r="K14" s="661">
        <v>34</v>
      </c>
      <c r="L14" s="661">
        <v>1072</v>
      </c>
      <c r="M14" s="661">
        <v>1465</v>
      </c>
      <c r="N14" s="661">
        <v>0</v>
      </c>
      <c r="O14" s="661">
        <v>1465</v>
      </c>
      <c r="P14" s="661">
        <v>3494</v>
      </c>
      <c r="Q14" s="661">
        <v>6625</v>
      </c>
      <c r="R14" s="661">
        <v>0</v>
      </c>
      <c r="S14" s="664">
        <v>0</v>
      </c>
    </row>
    <row r="15" spans="1:19" ht="12.75">
      <c r="A15" s="353">
        <v>9</v>
      </c>
      <c r="B15" s="657" t="str">
        <f>'[1]no_4L'!B13</f>
        <v>One2One sp. z o.o.</v>
      </c>
      <c r="C15" s="661">
        <f t="shared" si="0"/>
        <v>-231</v>
      </c>
      <c r="D15" s="662">
        <v>92</v>
      </c>
      <c r="E15" s="662"/>
      <c r="F15" s="662"/>
      <c r="G15" s="661">
        <f t="shared" si="1"/>
        <v>-323</v>
      </c>
      <c r="H15" s="662">
        <v>-41</v>
      </c>
      <c r="I15" s="662">
        <v>-282</v>
      </c>
      <c r="J15" s="662">
        <v>629</v>
      </c>
      <c r="K15" s="662">
        <v>0</v>
      </c>
      <c r="L15" s="662">
        <v>629</v>
      </c>
      <c r="M15" s="662">
        <v>147</v>
      </c>
      <c r="N15" s="662">
        <v>0</v>
      </c>
      <c r="O15" s="662">
        <v>147</v>
      </c>
      <c r="P15" s="662">
        <v>401</v>
      </c>
      <c r="Q15" s="662">
        <v>777</v>
      </c>
      <c r="R15" s="662">
        <v>0</v>
      </c>
      <c r="S15" s="665">
        <v>0</v>
      </c>
    </row>
    <row r="16" spans="1:19" ht="12.75">
      <c r="A16" s="353">
        <v>10</v>
      </c>
      <c r="B16" s="658" t="s">
        <v>923</v>
      </c>
      <c r="C16" s="661">
        <f t="shared" si="0"/>
        <v>-212</v>
      </c>
      <c r="D16" s="661">
        <v>376</v>
      </c>
      <c r="E16" s="661"/>
      <c r="F16" s="661"/>
      <c r="G16" s="661">
        <f t="shared" si="1"/>
        <v>-588</v>
      </c>
      <c r="H16" s="661">
        <v>-262</v>
      </c>
      <c r="I16" s="661">
        <v>-326</v>
      </c>
      <c r="J16" s="661">
        <v>385</v>
      </c>
      <c r="K16" s="661">
        <v>0</v>
      </c>
      <c r="L16" s="661">
        <v>385</v>
      </c>
      <c r="M16" s="661">
        <v>106</v>
      </c>
      <c r="N16" s="661">
        <v>0</v>
      </c>
      <c r="O16" s="661">
        <v>106</v>
      </c>
      <c r="P16" s="661">
        <v>176</v>
      </c>
      <c r="Q16" s="661">
        <v>98</v>
      </c>
      <c r="R16" s="661">
        <v>0</v>
      </c>
      <c r="S16" s="664">
        <v>0</v>
      </c>
    </row>
    <row r="17" spans="1:19" s="25" customFormat="1" ht="13.5" thickBot="1">
      <c r="A17" s="353">
        <v>11</v>
      </c>
      <c r="B17" s="659" t="str">
        <f>'[1]no_4L'!B15</f>
        <v>GeoTec Sp. z o.o.</v>
      </c>
      <c r="C17" s="663">
        <f t="shared" si="0"/>
        <v>234</v>
      </c>
      <c r="D17" s="663">
        <v>100</v>
      </c>
      <c r="E17" s="663"/>
      <c r="F17" s="663"/>
      <c r="G17" s="663">
        <f t="shared" si="1"/>
        <v>134</v>
      </c>
      <c r="H17" s="663">
        <v>0</v>
      </c>
      <c r="I17" s="663">
        <v>134</v>
      </c>
      <c r="J17" s="663">
        <f>SUM(K17:L17)</f>
        <v>236</v>
      </c>
      <c r="K17" s="663">
        <v>0</v>
      </c>
      <c r="L17" s="663">
        <v>236</v>
      </c>
      <c r="M17" s="663">
        <f>SUM(N17:O17)</f>
        <v>12</v>
      </c>
      <c r="N17" s="663">
        <v>0</v>
      </c>
      <c r="O17" s="663">
        <v>12</v>
      </c>
      <c r="P17" s="663">
        <v>693</v>
      </c>
      <c r="Q17" s="663">
        <v>476</v>
      </c>
      <c r="R17" s="663">
        <v>0</v>
      </c>
      <c r="S17" s="666">
        <v>0</v>
      </c>
    </row>
    <row r="18" s="25" customFormat="1" ht="12.75">
      <c r="B18" s="538"/>
    </row>
    <row r="19" s="25" customFormat="1" ht="12.75"/>
  </sheetData>
  <printOptions/>
  <pageMargins left="0.35" right="0.27" top="0.984251968503937" bottom="0.984251968503937" header="0.52" footer="0.5118110236220472"/>
  <pageSetup fitToHeight="1" fitToWidth="1" horizontalDpi="600" verticalDpi="600" orientation="landscape" paperSize="9" scale="57" r:id="rId1"/>
  <headerFooter alignWithMargins="0">
    <oddHeader>&amp;LMCI Management Spółka Akcyjna&amp;CSA-RS 2002&amp;Rw tys. zł</oddHeader>
    <oddFooter>&amp;CKomisja Papierów Wartościowych i Giełd</oddFooter>
  </headerFooter>
</worksheet>
</file>

<file path=xl/worksheets/sheet8.xml><?xml version="1.0" encoding="utf-8"?>
<worksheet xmlns="http://schemas.openxmlformats.org/spreadsheetml/2006/main" xmlns:r="http://schemas.openxmlformats.org/officeDocument/2006/relationships">
  <dimension ref="A1:K13"/>
  <sheetViews>
    <sheetView zoomScale="70" zoomScaleNormal="70" workbookViewId="0" topLeftCell="A1">
      <selection activeCell="A1" sqref="A1"/>
    </sheetView>
  </sheetViews>
  <sheetFormatPr defaultColWidth="9.00390625" defaultRowHeight="12.75"/>
  <cols>
    <col min="1" max="1" width="4.00390625" style="0" customWidth="1"/>
    <col min="2" max="2" width="28.375" style="0" customWidth="1"/>
    <col min="3" max="3" width="14.375" style="0" customWidth="1"/>
    <col min="4" max="4" width="20.00390625" style="0" customWidth="1"/>
    <col min="5" max="5" width="18.625" style="0" customWidth="1"/>
    <col min="6" max="6" width="12.875" style="0" customWidth="1"/>
    <col min="7" max="7" width="20.00390625" style="0" customWidth="1"/>
    <col min="8" max="8" width="16.75390625" style="0" customWidth="1"/>
    <col min="9" max="9" width="18.125" style="0" customWidth="1"/>
    <col min="10" max="10" width="17.75390625" style="0" customWidth="1"/>
    <col min="11" max="11" width="20.25390625" style="0" customWidth="1"/>
  </cols>
  <sheetData>
    <row r="1" spans="1:11" ht="16.5" thickBot="1">
      <c r="A1" s="15" t="s">
        <v>680</v>
      </c>
      <c r="B1" s="105"/>
      <c r="C1" s="99"/>
      <c r="D1" s="99"/>
      <c r="E1" s="99"/>
      <c r="F1" s="99"/>
      <c r="G1" s="99"/>
      <c r="H1" s="99"/>
      <c r="I1" s="99"/>
      <c r="J1" s="99"/>
      <c r="K1" s="99"/>
    </row>
    <row r="2" spans="1:11" ht="15">
      <c r="A2" s="102" t="s">
        <v>1211</v>
      </c>
      <c r="B2" s="102"/>
      <c r="C2" s="120"/>
      <c r="D2" s="120"/>
      <c r="E2" s="120"/>
      <c r="F2" s="120"/>
      <c r="G2" s="120"/>
      <c r="H2" s="17"/>
      <c r="I2" s="17"/>
      <c r="J2" s="17"/>
      <c r="K2" s="18"/>
    </row>
    <row r="3" spans="1:11" ht="15">
      <c r="A3" s="122" t="s">
        <v>297</v>
      </c>
      <c r="B3" s="125" t="s">
        <v>298</v>
      </c>
      <c r="C3" s="144" t="s">
        <v>993</v>
      </c>
      <c r="D3" s="123" t="s">
        <v>994</v>
      </c>
      <c r="E3" s="119" t="s">
        <v>995</v>
      </c>
      <c r="F3" s="145" t="s">
        <v>1212</v>
      </c>
      <c r="G3" s="144"/>
      <c r="H3" s="119" t="s">
        <v>997</v>
      </c>
      <c r="I3" s="146" t="s">
        <v>998</v>
      </c>
      <c r="J3" s="147" t="s">
        <v>999</v>
      </c>
      <c r="K3" s="156" t="s">
        <v>1000</v>
      </c>
    </row>
    <row r="4" spans="1:11" s="295" customFormat="1" ht="61.5" customHeight="1">
      <c r="A4" s="289"/>
      <c r="B4" s="290" t="s">
        <v>901</v>
      </c>
      <c r="C4" s="291" t="s">
        <v>1004</v>
      </c>
      <c r="D4" s="290" t="s">
        <v>756</v>
      </c>
      <c r="E4" s="278" t="s">
        <v>1157</v>
      </c>
      <c r="F4" s="292" t="s">
        <v>1213</v>
      </c>
      <c r="G4" s="293"/>
      <c r="H4" s="278" t="s">
        <v>1215</v>
      </c>
      <c r="I4" s="278" t="s">
        <v>757</v>
      </c>
      <c r="J4" s="278" t="s">
        <v>1216</v>
      </c>
      <c r="K4" s="294" t="s">
        <v>1217</v>
      </c>
    </row>
    <row r="5" spans="1:11" ht="15">
      <c r="A5" s="149"/>
      <c r="B5" s="150"/>
      <c r="C5" s="150"/>
      <c r="D5" s="150"/>
      <c r="E5" s="151"/>
      <c r="F5" s="151"/>
      <c r="G5" s="119" t="s">
        <v>1214</v>
      </c>
      <c r="H5" s="151"/>
      <c r="I5" s="151"/>
      <c r="J5" s="151"/>
      <c r="K5" s="152"/>
    </row>
    <row r="6" spans="1:11" ht="14.25">
      <c r="A6" s="68"/>
      <c r="B6" s="153"/>
      <c r="C6" s="136"/>
      <c r="D6" s="107"/>
      <c r="E6" s="246"/>
      <c r="F6" s="539"/>
      <c r="G6" s="539"/>
      <c r="H6" s="540"/>
      <c r="I6" s="540"/>
      <c r="J6" s="107"/>
      <c r="K6" s="103"/>
    </row>
    <row r="7" spans="1:11" ht="14.25">
      <c r="A7" s="68"/>
      <c r="B7" s="153"/>
      <c r="C7" s="136"/>
      <c r="D7" s="107"/>
      <c r="E7" s="246"/>
      <c r="F7" s="539"/>
      <c r="G7" s="539"/>
      <c r="H7" s="541"/>
      <c r="I7" s="541"/>
      <c r="J7" s="107"/>
      <c r="K7" s="103"/>
    </row>
    <row r="8" spans="1:11" ht="14.25">
      <c r="A8" s="68"/>
      <c r="B8" s="153"/>
      <c r="C8" s="136"/>
      <c r="D8" s="107"/>
      <c r="E8" s="246"/>
      <c r="F8" s="539"/>
      <c r="G8" s="539"/>
      <c r="H8" s="540"/>
      <c r="I8" s="540"/>
      <c r="J8" s="107"/>
      <c r="K8" s="103"/>
    </row>
    <row r="9" spans="1:11" ht="14.25">
      <c r="A9" s="68"/>
      <c r="B9" s="153"/>
      <c r="C9" s="136"/>
      <c r="D9" s="107"/>
      <c r="E9" s="107"/>
      <c r="F9" s="107"/>
      <c r="G9" s="107"/>
      <c r="H9" s="107"/>
      <c r="I9" s="107"/>
      <c r="J9" s="107"/>
      <c r="K9" s="103"/>
    </row>
    <row r="10" spans="1:11" ht="14.25">
      <c r="A10" s="68"/>
      <c r="B10" s="153"/>
      <c r="C10" s="136"/>
      <c r="D10" s="107"/>
      <c r="E10" s="107"/>
      <c r="F10" s="107"/>
      <c r="G10" s="107"/>
      <c r="H10" s="107"/>
      <c r="I10" s="107"/>
      <c r="J10" s="107"/>
      <c r="K10" s="103"/>
    </row>
    <row r="11" spans="1:11" ht="15" thickBot="1">
      <c r="A11" s="69"/>
      <c r="B11" s="154"/>
      <c r="C11" s="137"/>
      <c r="D11" s="108"/>
      <c r="E11" s="108"/>
      <c r="F11" s="108"/>
      <c r="G11" s="108"/>
      <c r="H11" s="108"/>
      <c r="I11" s="108"/>
      <c r="J11" s="108"/>
      <c r="K11" s="104"/>
    </row>
    <row r="13" ht="12.75">
      <c r="E13" s="326"/>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&amp;LMCI Management Spółka Akcyjna&amp;CSA-RS 2002&amp;Rw tys. zł</oddHeader>
    <oddFooter>&amp;CKomisja Papierów Wartościowych i Giełd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88"/>
  <sheetViews>
    <sheetView zoomScale="70" zoomScaleNormal="70" workbookViewId="0" topLeftCell="A1">
      <selection activeCell="A1" sqref="A1"/>
    </sheetView>
  </sheetViews>
  <sheetFormatPr defaultColWidth="9.00390625" defaultRowHeight="12.75"/>
  <cols>
    <col min="1" max="1" width="22.25390625" style="2" customWidth="1"/>
    <col min="2" max="2" width="23.625" style="2" customWidth="1"/>
    <col min="3" max="4" width="24.875" style="2" customWidth="1"/>
    <col min="5" max="5" width="20.75390625" style="2" customWidth="1"/>
    <col min="6" max="6" width="24.875" style="2" customWidth="1"/>
    <col min="7" max="7" width="20.875" style="2" customWidth="1"/>
    <col min="8" max="8" width="18.00390625" style="2" customWidth="1"/>
    <col min="9" max="9" width="23.75390625" style="2" customWidth="1"/>
    <col min="10" max="10" width="21.125" style="2" customWidth="1"/>
    <col min="11" max="11" width="21.00390625" style="2" customWidth="1"/>
    <col min="12" max="12" width="21.125" style="2" customWidth="1"/>
    <col min="13" max="13" width="18.25390625" style="2" customWidth="1"/>
    <col min="14" max="14" width="18.375" style="2" customWidth="1"/>
    <col min="15" max="15" width="18.625" style="2" customWidth="1"/>
    <col min="16" max="17" width="18.125" style="2" customWidth="1"/>
    <col min="18" max="18" width="20.625" style="2" customWidth="1"/>
    <col min="19" max="16384" width="9.125" style="2" customWidth="1"/>
  </cols>
  <sheetData>
    <row r="1" spans="1:10" ht="16.5" thickBot="1">
      <c r="A1" s="105" t="s">
        <v>66</v>
      </c>
      <c r="B1" s="229"/>
      <c r="C1" s="229"/>
      <c r="D1" s="229"/>
      <c r="E1" s="229"/>
      <c r="F1" s="229"/>
      <c r="G1" s="229"/>
      <c r="H1" s="229"/>
      <c r="I1" s="229"/>
      <c r="J1" s="490"/>
    </row>
    <row r="2" spans="1:10" ht="15">
      <c r="A2" s="118" t="s">
        <v>909</v>
      </c>
      <c r="B2" s="120"/>
      <c r="C2" s="120"/>
      <c r="D2" s="120"/>
      <c r="E2" s="120"/>
      <c r="F2" s="120"/>
      <c r="G2" s="120"/>
      <c r="H2" s="120"/>
      <c r="I2" s="121"/>
      <c r="J2" s="490"/>
    </row>
    <row r="3" spans="1:10" s="492" customFormat="1" ht="30">
      <c r="A3" s="296" t="s">
        <v>587</v>
      </c>
      <c r="B3" s="297" t="s">
        <v>588</v>
      </c>
      <c r="C3" s="298" t="s">
        <v>589</v>
      </c>
      <c r="D3" s="298" t="s">
        <v>590</v>
      </c>
      <c r="E3" s="297" t="s">
        <v>345</v>
      </c>
      <c r="F3" s="298" t="s">
        <v>1162</v>
      </c>
      <c r="G3" s="298" t="s">
        <v>1163</v>
      </c>
      <c r="H3" s="297" t="s">
        <v>1164</v>
      </c>
      <c r="I3" s="299" t="s">
        <v>1165</v>
      </c>
      <c r="J3" s="491"/>
    </row>
    <row r="4" spans="1:10" ht="12.75">
      <c r="A4" s="493" t="s">
        <v>119</v>
      </c>
      <c r="B4" s="494" t="s">
        <v>851</v>
      </c>
      <c r="C4" s="494" t="s">
        <v>122</v>
      </c>
      <c r="D4" s="494" t="s">
        <v>122</v>
      </c>
      <c r="E4" s="495">
        <v>100000</v>
      </c>
      <c r="F4" s="495">
        <f>E4</f>
        <v>100000</v>
      </c>
      <c r="G4" s="496" t="s">
        <v>123</v>
      </c>
      <c r="H4" s="496" t="s">
        <v>855</v>
      </c>
      <c r="I4" s="497" t="s">
        <v>859</v>
      </c>
      <c r="J4" s="490"/>
    </row>
    <row r="5" spans="1:10" ht="12.75">
      <c r="A5" s="498" t="s">
        <v>120</v>
      </c>
      <c r="B5" s="494" t="s">
        <v>851</v>
      </c>
      <c r="C5" s="494" t="s">
        <v>122</v>
      </c>
      <c r="D5" s="494" t="s">
        <v>122</v>
      </c>
      <c r="E5" s="495">
        <v>19500000</v>
      </c>
      <c r="F5" s="495">
        <f>E5</f>
        <v>19500000</v>
      </c>
      <c r="G5" s="496" t="s">
        <v>854</v>
      </c>
      <c r="H5" s="496" t="s">
        <v>856</v>
      </c>
      <c r="I5" s="497" t="s">
        <v>860</v>
      </c>
      <c r="J5" s="490"/>
    </row>
    <row r="6" spans="1:10" ht="12.75">
      <c r="A6" s="498" t="s">
        <v>121</v>
      </c>
      <c r="B6" s="494" t="s">
        <v>851</v>
      </c>
      <c r="C6" s="494" t="s">
        <v>122</v>
      </c>
      <c r="D6" s="494" t="s">
        <v>122</v>
      </c>
      <c r="E6" s="495">
        <v>12500000</v>
      </c>
      <c r="F6" s="495">
        <f>E6</f>
        <v>12500000</v>
      </c>
      <c r="G6" s="496" t="s">
        <v>123</v>
      </c>
      <c r="H6" s="496" t="s">
        <v>856</v>
      </c>
      <c r="I6" s="497" t="s">
        <v>860</v>
      </c>
      <c r="J6" s="490"/>
    </row>
    <row r="7" spans="1:10" ht="42" customHeight="1">
      <c r="A7" s="498" t="s">
        <v>852</v>
      </c>
      <c r="B7" s="494" t="s">
        <v>851</v>
      </c>
      <c r="C7" s="494" t="s">
        <v>122</v>
      </c>
      <c r="D7" s="494" t="s">
        <v>122</v>
      </c>
      <c r="E7" s="499">
        <v>500000</v>
      </c>
      <c r="F7" s="495">
        <f>E7</f>
        <v>500000</v>
      </c>
      <c r="G7" s="496" t="s">
        <v>123</v>
      </c>
      <c r="H7" s="496" t="s">
        <v>857</v>
      </c>
      <c r="I7" s="497" t="s">
        <v>860</v>
      </c>
      <c r="J7" s="31"/>
    </row>
    <row r="8" spans="1:10" ht="28.5" customHeight="1" thickBot="1">
      <c r="A8" s="500" t="s">
        <v>853</v>
      </c>
      <c r="B8" s="730" t="s">
        <v>851</v>
      </c>
      <c r="C8" s="501" t="s">
        <v>122</v>
      </c>
      <c r="D8" s="501" t="s">
        <v>122</v>
      </c>
      <c r="E8" s="502">
        <v>5200000</v>
      </c>
      <c r="F8" s="502">
        <f>E8</f>
        <v>5200000</v>
      </c>
      <c r="G8" s="503" t="s">
        <v>123</v>
      </c>
      <c r="H8" s="504" t="s">
        <v>858</v>
      </c>
      <c r="I8" s="731" t="s">
        <v>860</v>
      </c>
      <c r="J8" s="31"/>
    </row>
    <row r="9" spans="1:10" ht="14.25">
      <c r="A9" s="165" t="s">
        <v>1166</v>
      </c>
      <c r="B9" s="166"/>
      <c r="C9" s="166"/>
      <c r="D9" s="167"/>
      <c r="E9" s="727">
        <f>SUM(E4:E8)</f>
        <v>37800000</v>
      </c>
      <c r="F9" s="728"/>
      <c r="G9" s="728"/>
      <c r="H9" s="728"/>
      <c r="I9" s="729"/>
      <c r="J9" s="505"/>
    </row>
    <row r="10" spans="1:10" ht="14.25">
      <c r="A10" s="168" t="s">
        <v>1167</v>
      </c>
      <c r="B10" s="169"/>
      <c r="C10" s="169"/>
      <c r="D10" s="169"/>
      <c r="E10" s="170"/>
      <c r="F10" s="246">
        <f>SUM(F4:F8)</f>
        <v>37800000</v>
      </c>
      <c r="G10" s="171"/>
      <c r="H10" s="171"/>
      <c r="I10" s="172"/>
      <c r="J10" s="505"/>
    </row>
    <row r="11" spans="1:10" ht="15" thickBot="1">
      <c r="A11" s="173" t="s">
        <v>850</v>
      </c>
      <c r="B11" s="174"/>
      <c r="C11" s="174"/>
      <c r="D11" s="174"/>
      <c r="E11" s="174"/>
      <c r="F11" s="174"/>
      <c r="G11" s="174"/>
      <c r="H11" s="174"/>
      <c r="I11" s="175"/>
      <c r="J11" s="505"/>
    </row>
    <row r="12" spans="1:10" ht="15.75">
      <c r="A12" s="53"/>
      <c r="B12" s="490"/>
      <c r="C12" s="490"/>
      <c r="D12" s="490"/>
      <c r="E12" s="490"/>
      <c r="F12" s="490"/>
      <c r="G12" s="490"/>
      <c r="H12" s="490"/>
      <c r="I12" s="490"/>
      <c r="J12" s="505"/>
    </row>
    <row r="13" spans="1:10" ht="12.75">
      <c r="A13" s="490"/>
      <c r="B13" s="490"/>
      <c r="C13" s="490"/>
      <c r="D13" s="490"/>
      <c r="E13" s="490"/>
      <c r="F13" s="490"/>
      <c r="G13" s="490"/>
      <c r="H13" s="490"/>
      <c r="I13" s="490"/>
      <c r="J13" s="505"/>
    </row>
    <row r="14" spans="1:10" ht="12.75">
      <c r="A14" s="55"/>
      <c r="B14" s="490"/>
      <c r="C14" s="490"/>
      <c r="D14" s="490"/>
      <c r="E14" s="490"/>
      <c r="F14" s="490"/>
      <c r="G14" s="490"/>
      <c r="H14" s="490"/>
      <c r="I14" s="490"/>
      <c r="J14" s="505"/>
    </row>
    <row r="15" spans="1:10" ht="12.75">
      <c r="A15" s="55"/>
      <c r="B15" s="52"/>
      <c r="C15" s="52"/>
      <c r="D15" s="55"/>
      <c r="E15" s="490"/>
      <c r="F15" s="52"/>
      <c r="G15" s="52"/>
      <c r="H15" s="157"/>
      <c r="I15" s="490"/>
      <c r="J15" s="505"/>
    </row>
    <row r="16" spans="1:10" ht="12.75">
      <c r="A16" s="490"/>
      <c r="B16" s="31"/>
      <c r="C16" s="31"/>
      <c r="D16" s="31"/>
      <c r="E16" s="31"/>
      <c r="F16" s="31"/>
      <c r="G16" s="31"/>
      <c r="H16" s="31"/>
      <c r="I16" s="31"/>
      <c r="J16" s="505"/>
    </row>
    <row r="17" spans="1:10" ht="12.75">
      <c r="A17" s="490"/>
      <c r="B17" s="490"/>
      <c r="C17" s="490"/>
      <c r="D17" s="490"/>
      <c r="E17" s="490"/>
      <c r="F17" s="490"/>
      <c r="G17" s="490"/>
      <c r="H17" s="490"/>
      <c r="I17" s="490"/>
      <c r="J17" s="490"/>
    </row>
    <row r="18" spans="1:10" ht="15.75">
      <c r="A18" s="53"/>
      <c r="B18" s="490"/>
      <c r="C18" s="490"/>
      <c r="D18" s="490"/>
      <c r="E18" s="490"/>
      <c r="F18" s="490"/>
      <c r="G18" s="490"/>
      <c r="H18" s="490"/>
      <c r="I18" s="490"/>
      <c r="J18" s="490"/>
    </row>
    <row r="19" spans="1:10" ht="12.75">
      <c r="A19" s="490"/>
      <c r="B19" s="490"/>
      <c r="C19" s="490"/>
      <c r="D19" s="490"/>
      <c r="E19" s="490"/>
      <c r="F19" s="490"/>
      <c r="G19" s="490"/>
      <c r="H19" s="490"/>
      <c r="I19" s="490"/>
      <c r="J19" s="490"/>
    </row>
    <row r="20" spans="1:10" ht="12.75">
      <c r="A20" s="55"/>
      <c r="B20" s="31"/>
      <c r="C20" s="31"/>
      <c r="D20" s="31"/>
      <c r="E20" s="31"/>
      <c r="F20" s="31"/>
      <c r="G20" s="31"/>
      <c r="H20" s="490"/>
      <c r="I20" s="490"/>
      <c r="J20" s="490"/>
    </row>
    <row r="21" spans="1:10" ht="15">
      <c r="A21" s="109"/>
      <c r="B21" s="506"/>
      <c r="C21" s="506"/>
      <c r="D21" s="506"/>
      <c r="E21" s="506"/>
      <c r="F21" s="506"/>
      <c r="G21" s="506"/>
      <c r="H21" s="490"/>
      <c r="I21" s="490"/>
      <c r="J21" s="490"/>
    </row>
    <row r="22" spans="1:10" ht="15">
      <c r="A22" s="109"/>
      <c r="B22" s="506"/>
      <c r="C22" s="506"/>
      <c r="D22" s="506"/>
      <c r="E22" s="506"/>
      <c r="F22" s="506"/>
      <c r="G22" s="506"/>
      <c r="H22" s="490"/>
      <c r="I22" s="490"/>
      <c r="J22" s="490"/>
    </row>
    <row r="23" spans="1:10" ht="15">
      <c r="A23" s="109"/>
      <c r="B23" s="506"/>
      <c r="C23" s="506"/>
      <c r="D23" s="506"/>
      <c r="E23" s="506"/>
      <c r="F23" s="506"/>
      <c r="G23" s="506"/>
      <c r="H23" s="490"/>
      <c r="I23" s="490"/>
      <c r="J23" s="490"/>
    </row>
    <row r="24" spans="1:20" ht="15">
      <c r="A24" s="109"/>
      <c r="B24" s="506"/>
      <c r="C24" s="506"/>
      <c r="D24" s="506"/>
      <c r="E24" s="506"/>
      <c r="F24" s="506"/>
      <c r="G24" s="506"/>
      <c r="H24" s="490"/>
      <c r="I24" s="490"/>
      <c r="J24" s="490"/>
      <c r="K24" s="490"/>
      <c r="L24" s="490"/>
      <c r="M24" s="490"/>
      <c r="N24" s="490"/>
      <c r="O24" s="490"/>
      <c r="P24" s="490"/>
      <c r="Q24" s="490"/>
      <c r="R24" s="490"/>
      <c r="S24" s="490"/>
      <c r="T24" s="490"/>
    </row>
    <row r="25" spans="1:20" ht="15">
      <c r="A25" s="109"/>
      <c r="B25" s="506"/>
      <c r="C25" s="506"/>
      <c r="D25" s="506"/>
      <c r="E25" s="506"/>
      <c r="F25" s="506"/>
      <c r="G25" s="506"/>
      <c r="H25" s="490"/>
      <c r="I25" s="490"/>
      <c r="J25" s="490"/>
      <c r="K25" s="490"/>
      <c r="L25" s="490"/>
      <c r="M25" s="490"/>
      <c r="N25" s="490"/>
      <c r="O25" s="490"/>
      <c r="P25" s="490"/>
      <c r="Q25" s="490"/>
      <c r="R25" s="490"/>
      <c r="S25" s="490"/>
      <c r="T25" s="490"/>
    </row>
    <row r="26" spans="1:20" ht="15">
      <c r="A26" s="109"/>
      <c r="B26" s="506"/>
      <c r="C26" s="506"/>
      <c r="D26" s="506"/>
      <c r="E26" s="506"/>
      <c r="F26" s="506"/>
      <c r="G26" s="506"/>
      <c r="H26" s="490"/>
      <c r="I26" s="490"/>
      <c r="J26" s="490"/>
      <c r="K26" s="490"/>
      <c r="L26" s="490"/>
      <c r="M26" s="490"/>
      <c r="N26" s="490"/>
      <c r="O26" s="490"/>
      <c r="P26" s="490"/>
      <c r="Q26" s="490"/>
      <c r="R26" s="490"/>
      <c r="S26" s="490"/>
      <c r="T26" s="490"/>
    </row>
    <row r="27" spans="1:20" ht="15">
      <c r="A27" s="109"/>
      <c r="B27" s="506"/>
      <c r="C27" s="506"/>
      <c r="D27" s="506"/>
      <c r="E27" s="506"/>
      <c r="F27" s="506"/>
      <c r="G27" s="506"/>
      <c r="H27" s="490"/>
      <c r="I27" s="490"/>
      <c r="J27" s="114"/>
      <c r="K27" s="114"/>
      <c r="L27" s="114"/>
      <c r="M27" s="490"/>
      <c r="N27" s="490"/>
      <c r="O27" s="490"/>
      <c r="P27" s="490"/>
      <c r="Q27" s="490"/>
      <c r="R27" s="490"/>
      <c r="S27" s="490"/>
      <c r="T27" s="490"/>
    </row>
    <row r="28" spans="1:20" s="24" customFormat="1" ht="15">
      <c r="A28" s="109"/>
      <c r="B28" s="506"/>
      <c r="C28" s="506"/>
      <c r="D28" s="506"/>
      <c r="E28" s="506"/>
      <c r="F28" s="506"/>
      <c r="G28" s="506"/>
      <c r="H28" s="490"/>
      <c r="I28" s="490"/>
      <c r="J28" s="115"/>
      <c r="K28" s="115"/>
      <c r="L28" s="115"/>
      <c r="M28" s="162"/>
      <c r="N28" s="162"/>
      <c r="O28" s="162"/>
      <c r="P28" s="162"/>
      <c r="Q28" s="162"/>
      <c r="R28" s="162"/>
      <c r="S28" s="162"/>
      <c r="T28" s="162"/>
    </row>
    <row r="29" spans="1:20" ht="15">
      <c r="A29" s="109"/>
      <c r="B29" s="506"/>
      <c r="C29" s="506"/>
      <c r="D29" s="506"/>
      <c r="E29" s="506"/>
      <c r="F29" s="506"/>
      <c r="G29" s="506"/>
      <c r="H29" s="490"/>
      <c r="I29" s="490"/>
      <c r="J29" s="490"/>
      <c r="K29" s="490"/>
      <c r="L29" s="490"/>
      <c r="M29" s="490"/>
      <c r="N29" s="490"/>
      <c r="O29" s="490"/>
      <c r="P29" s="490"/>
      <c r="Q29" s="490"/>
      <c r="R29" s="490"/>
      <c r="S29" s="490"/>
      <c r="T29" s="490"/>
    </row>
    <row r="30" spans="1:20" ht="15">
      <c r="A30" s="109"/>
      <c r="B30" s="506"/>
      <c r="C30" s="506"/>
      <c r="D30" s="506"/>
      <c r="E30" s="506"/>
      <c r="F30" s="506"/>
      <c r="G30" s="506"/>
      <c r="H30" s="490"/>
      <c r="I30" s="490"/>
      <c r="J30" s="490"/>
      <c r="K30" s="490"/>
      <c r="L30" s="490"/>
      <c r="M30" s="490"/>
      <c r="N30" s="490"/>
      <c r="O30" s="490"/>
      <c r="P30" s="490"/>
      <c r="Q30" s="490"/>
      <c r="R30" s="490"/>
      <c r="S30" s="490"/>
      <c r="T30" s="490"/>
    </row>
    <row r="31" spans="1:20" ht="15">
      <c r="A31" s="109"/>
      <c r="B31" s="506"/>
      <c r="C31" s="506"/>
      <c r="D31" s="506"/>
      <c r="E31" s="506"/>
      <c r="F31" s="506"/>
      <c r="G31" s="506"/>
      <c r="H31" s="490"/>
      <c r="I31" s="490"/>
      <c r="J31" s="490"/>
      <c r="K31" s="490"/>
      <c r="L31" s="490"/>
      <c r="M31" s="490"/>
      <c r="N31" s="490"/>
      <c r="O31" s="490"/>
      <c r="P31" s="490"/>
      <c r="Q31" s="490"/>
      <c r="R31" s="490"/>
      <c r="S31" s="490"/>
      <c r="T31" s="490"/>
    </row>
    <row r="32" spans="1:20" ht="15">
      <c r="A32" s="109"/>
      <c r="B32" s="507"/>
      <c r="C32" s="507"/>
      <c r="D32" s="507"/>
      <c r="E32" s="507"/>
      <c r="F32" s="507"/>
      <c r="G32" s="507"/>
      <c r="H32" s="490"/>
      <c r="I32" s="490"/>
      <c r="J32" s="490"/>
      <c r="K32" s="490"/>
      <c r="L32" s="490"/>
      <c r="M32" s="490"/>
      <c r="N32" s="490"/>
      <c r="O32" s="490"/>
      <c r="P32" s="490"/>
      <c r="Q32" s="490"/>
      <c r="R32" s="490"/>
      <c r="S32" s="490"/>
      <c r="T32" s="490"/>
    </row>
    <row r="33" spans="1:20" ht="15">
      <c r="A33" s="109"/>
      <c r="B33" s="507"/>
      <c r="C33" s="507"/>
      <c r="D33" s="507"/>
      <c r="E33" s="507"/>
      <c r="F33" s="507"/>
      <c r="G33" s="507"/>
      <c r="H33" s="490"/>
      <c r="I33" s="490"/>
      <c r="J33" s="490"/>
      <c r="K33" s="490"/>
      <c r="L33" s="490"/>
      <c r="M33" s="490"/>
      <c r="N33" s="490"/>
      <c r="O33" s="490"/>
      <c r="P33" s="490"/>
      <c r="Q33" s="490"/>
      <c r="R33" s="490"/>
      <c r="S33" s="490"/>
      <c r="T33" s="490"/>
    </row>
    <row r="34" spans="1:20" ht="15">
      <c r="A34" s="109"/>
      <c r="B34" s="507"/>
      <c r="C34" s="507"/>
      <c r="D34" s="507"/>
      <c r="E34" s="507"/>
      <c r="F34" s="507"/>
      <c r="G34" s="507"/>
      <c r="H34" s="490"/>
      <c r="I34" s="490"/>
      <c r="J34" s="490"/>
      <c r="K34" s="490"/>
      <c r="L34" s="490"/>
      <c r="M34" s="490"/>
      <c r="N34" s="490"/>
      <c r="O34" s="490"/>
      <c r="P34" s="490"/>
      <c r="Q34" s="490"/>
      <c r="R34" s="490"/>
      <c r="S34" s="490"/>
      <c r="T34" s="490"/>
    </row>
    <row r="35" spans="1:20" ht="15">
      <c r="A35" s="109"/>
      <c r="B35" s="507"/>
      <c r="C35" s="507"/>
      <c r="D35" s="507"/>
      <c r="E35" s="507"/>
      <c r="F35" s="507"/>
      <c r="G35" s="507"/>
      <c r="H35" s="490"/>
      <c r="I35" s="490"/>
      <c r="J35" s="490"/>
      <c r="K35" s="490"/>
      <c r="L35" s="490"/>
      <c r="M35" s="490"/>
      <c r="N35" s="490"/>
      <c r="O35" s="490"/>
      <c r="P35" s="490"/>
      <c r="Q35" s="490"/>
      <c r="R35" s="490"/>
      <c r="S35" s="490"/>
      <c r="T35" s="490"/>
    </row>
    <row r="36" spans="1:20" ht="12.75">
      <c r="A36" s="490"/>
      <c r="B36" s="490"/>
      <c r="C36" s="490"/>
      <c r="D36" s="490"/>
      <c r="E36" s="490"/>
      <c r="F36" s="490"/>
      <c r="G36" s="490"/>
      <c r="H36" s="490"/>
      <c r="I36" s="490"/>
      <c r="J36" s="490"/>
      <c r="K36" s="490"/>
      <c r="L36" s="490"/>
      <c r="M36" s="490"/>
      <c r="N36" s="490"/>
      <c r="O36" s="490"/>
      <c r="P36" s="490"/>
      <c r="Q36" s="490"/>
      <c r="R36" s="490"/>
      <c r="S36" s="490"/>
      <c r="T36" s="490"/>
    </row>
    <row r="37" spans="1:20" ht="15.75">
      <c r="A37" s="53"/>
      <c r="B37" s="490"/>
      <c r="C37" s="490"/>
      <c r="D37" s="490"/>
      <c r="E37" s="490"/>
      <c r="F37" s="490"/>
      <c r="G37" s="490"/>
      <c r="H37" s="490"/>
      <c r="I37" s="490"/>
      <c r="J37" s="490"/>
      <c r="K37" s="490"/>
      <c r="L37" s="490"/>
      <c r="M37" s="490"/>
      <c r="N37" s="490"/>
      <c r="O37" s="490"/>
      <c r="P37" s="490"/>
      <c r="Q37" s="490"/>
      <c r="R37" s="490"/>
      <c r="S37" s="490"/>
      <c r="T37" s="490"/>
    </row>
    <row r="38" spans="1:20" ht="12.75">
      <c r="A38" s="55"/>
      <c r="B38" s="490"/>
      <c r="C38" s="490"/>
      <c r="D38" s="490"/>
      <c r="E38" s="490"/>
      <c r="F38" s="490"/>
      <c r="G38" s="490"/>
      <c r="H38" s="490"/>
      <c r="I38" s="490"/>
      <c r="J38" s="490"/>
      <c r="K38" s="490"/>
      <c r="L38" s="490"/>
      <c r="M38" s="490"/>
      <c r="N38" s="490"/>
      <c r="O38" s="490"/>
      <c r="P38" s="490"/>
      <c r="Q38" s="490"/>
      <c r="R38" s="490"/>
      <c r="S38" s="490"/>
      <c r="T38" s="490"/>
    </row>
    <row r="39" spans="1:20" ht="12.75">
      <c r="A39" s="55"/>
      <c r="B39" s="61"/>
      <c r="C39" s="61"/>
      <c r="D39" s="55"/>
      <c r="E39" s="55"/>
      <c r="F39" s="61"/>
      <c r="G39" s="61"/>
      <c r="H39" s="158"/>
      <c r="I39" s="158"/>
      <c r="J39" s="490"/>
      <c r="K39" s="490"/>
      <c r="L39" s="490"/>
      <c r="M39" s="490"/>
      <c r="N39" s="490"/>
      <c r="O39" s="490"/>
      <c r="P39" s="490"/>
      <c r="Q39" s="490"/>
      <c r="R39" s="490"/>
      <c r="S39" s="490"/>
      <c r="T39" s="490"/>
    </row>
    <row r="40" spans="1:20" ht="12.75">
      <c r="A40" s="159"/>
      <c r="B40" s="159"/>
      <c r="C40" s="115"/>
      <c r="D40" s="115"/>
      <c r="E40" s="115"/>
      <c r="F40" s="115"/>
      <c r="G40" s="115"/>
      <c r="H40" s="115"/>
      <c r="I40" s="115"/>
      <c r="J40" s="160"/>
      <c r="K40" s="160"/>
      <c r="L40" s="160"/>
      <c r="M40" s="114"/>
      <c r="N40" s="114"/>
      <c r="O40" s="52"/>
      <c r="P40" s="52"/>
      <c r="Q40" s="52"/>
      <c r="R40" s="52"/>
      <c r="S40" s="490"/>
      <c r="T40" s="490"/>
    </row>
    <row r="41" spans="1:20" ht="28.5" customHeight="1">
      <c r="A41" s="490"/>
      <c r="B41" s="490"/>
      <c r="C41" s="490"/>
      <c r="D41" s="490"/>
      <c r="E41" s="490"/>
      <c r="F41" s="490"/>
      <c r="G41" s="490"/>
      <c r="H41" s="490"/>
      <c r="I41" s="490"/>
      <c r="J41" s="490"/>
      <c r="K41" s="490"/>
      <c r="L41" s="31"/>
      <c r="M41" s="490"/>
      <c r="N41" s="490"/>
      <c r="O41" s="31"/>
      <c r="P41" s="31"/>
      <c r="Q41" s="31"/>
      <c r="R41" s="31"/>
      <c r="S41" s="490"/>
      <c r="T41" s="490"/>
    </row>
    <row r="42" spans="1:20" ht="12.75">
      <c r="A42" s="490"/>
      <c r="B42" s="490"/>
      <c r="C42" s="490"/>
      <c r="D42" s="490"/>
      <c r="E42" s="490"/>
      <c r="F42" s="490"/>
      <c r="G42" s="490"/>
      <c r="H42" s="490"/>
      <c r="I42" s="490"/>
      <c r="J42" s="490"/>
      <c r="K42" s="490"/>
      <c r="L42" s="116"/>
      <c r="M42" s="490"/>
      <c r="N42" s="490"/>
      <c r="O42" s="490"/>
      <c r="P42" s="490"/>
      <c r="Q42" s="31"/>
      <c r="R42" s="31"/>
      <c r="S42" s="490"/>
      <c r="T42" s="490"/>
    </row>
    <row r="43" spans="1:20" ht="12.75">
      <c r="A43" s="490"/>
      <c r="B43" s="490"/>
      <c r="C43" s="490"/>
      <c r="D43" s="490"/>
      <c r="E43" s="490"/>
      <c r="F43" s="490"/>
      <c r="G43" s="490"/>
      <c r="H43" s="490"/>
      <c r="I43" s="490"/>
      <c r="J43" s="31"/>
      <c r="K43" s="31"/>
      <c r="L43" s="490"/>
      <c r="M43" s="31"/>
      <c r="N43" s="31"/>
      <c r="O43" s="490"/>
      <c r="P43" s="490"/>
      <c r="Q43" s="490"/>
      <c r="R43" s="490"/>
      <c r="S43" s="490"/>
      <c r="T43" s="490"/>
    </row>
    <row r="44" spans="1:20" ht="12.75">
      <c r="A44" s="490"/>
      <c r="B44" s="490"/>
      <c r="C44" s="490"/>
      <c r="D44" s="490"/>
      <c r="E44" s="490"/>
      <c r="F44" s="490"/>
      <c r="G44" s="490"/>
      <c r="H44" s="490"/>
      <c r="I44" s="490"/>
      <c r="J44" s="505"/>
      <c r="K44" s="505"/>
      <c r="L44" s="505"/>
      <c r="M44" s="505"/>
      <c r="N44" s="505"/>
      <c r="O44" s="505"/>
      <c r="P44" s="505"/>
      <c r="Q44" s="505"/>
      <c r="R44" s="505"/>
      <c r="S44" s="490"/>
      <c r="T44" s="490"/>
    </row>
    <row r="45" spans="1:20" ht="12.75">
      <c r="A45" s="490"/>
      <c r="B45" s="490"/>
      <c r="C45" s="490"/>
      <c r="D45" s="490"/>
      <c r="E45" s="490"/>
      <c r="F45" s="490"/>
      <c r="G45" s="490"/>
      <c r="H45" s="490"/>
      <c r="I45" s="490"/>
      <c r="J45" s="505"/>
      <c r="K45" s="505"/>
      <c r="L45" s="505"/>
      <c r="M45" s="505"/>
      <c r="N45" s="505"/>
      <c r="O45" s="505"/>
      <c r="P45" s="505"/>
      <c r="Q45" s="505"/>
      <c r="R45" s="505"/>
      <c r="S45" s="490"/>
      <c r="T45" s="490"/>
    </row>
    <row r="46" spans="1:20" ht="12.75">
      <c r="A46" s="490"/>
      <c r="B46" s="490"/>
      <c r="C46" s="490"/>
      <c r="D46" s="490"/>
      <c r="E46" s="490"/>
      <c r="F46" s="490"/>
      <c r="G46" s="490"/>
      <c r="H46" s="490"/>
      <c r="I46" s="490"/>
      <c r="J46" s="505"/>
      <c r="K46" s="505"/>
      <c r="L46" s="505"/>
      <c r="M46" s="505"/>
      <c r="N46" s="505"/>
      <c r="O46" s="505"/>
      <c r="P46" s="505"/>
      <c r="Q46" s="505"/>
      <c r="R46" s="505"/>
      <c r="S46" s="490"/>
      <c r="T46" s="490"/>
    </row>
    <row r="47" spans="1:20" ht="12.75">
      <c r="A47" s="490"/>
      <c r="B47" s="490"/>
      <c r="C47" s="490"/>
      <c r="D47" s="490"/>
      <c r="E47" s="490"/>
      <c r="F47" s="490"/>
      <c r="G47" s="490"/>
      <c r="H47" s="490"/>
      <c r="I47" s="490"/>
      <c r="J47" s="505"/>
      <c r="K47" s="505"/>
      <c r="L47" s="505"/>
      <c r="M47" s="505"/>
      <c r="N47" s="505"/>
      <c r="O47" s="505"/>
      <c r="P47" s="505"/>
      <c r="Q47" s="505"/>
      <c r="R47" s="505"/>
      <c r="S47" s="490"/>
      <c r="T47" s="490"/>
    </row>
    <row r="48" spans="1:20" ht="12.75">
      <c r="A48" s="490"/>
      <c r="B48" s="490"/>
      <c r="C48" s="490"/>
      <c r="D48" s="490"/>
      <c r="E48" s="490"/>
      <c r="F48" s="490"/>
      <c r="G48" s="490"/>
      <c r="H48" s="490"/>
      <c r="I48" s="490"/>
      <c r="J48" s="505"/>
      <c r="K48" s="505"/>
      <c r="L48" s="505"/>
      <c r="M48" s="505"/>
      <c r="N48" s="505"/>
      <c r="O48" s="505"/>
      <c r="P48" s="505"/>
      <c r="Q48" s="505"/>
      <c r="R48" s="505"/>
      <c r="S48" s="490"/>
      <c r="T48" s="490"/>
    </row>
    <row r="49" spans="1:20" ht="12.75">
      <c r="A49" s="490"/>
      <c r="B49" s="490"/>
      <c r="C49" s="490"/>
      <c r="D49" s="490"/>
      <c r="E49" s="490"/>
      <c r="F49" s="490"/>
      <c r="G49" s="490"/>
      <c r="H49" s="490"/>
      <c r="I49" s="490"/>
      <c r="J49" s="505"/>
      <c r="K49" s="505"/>
      <c r="L49" s="505"/>
      <c r="M49" s="505"/>
      <c r="N49" s="505"/>
      <c r="O49" s="505"/>
      <c r="P49" s="505"/>
      <c r="Q49" s="505"/>
      <c r="R49" s="505"/>
      <c r="S49" s="490"/>
      <c r="T49" s="490"/>
    </row>
    <row r="50" spans="1:20" ht="15.75">
      <c r="A50" s="53"/>
      <c r="B50" s="490"/>
      <c r="C50" s="490"/>
      <c r="D50" s="490"/>
      <c r="E50" s="490"/>
      <c r="F50" s="490"/>
      <c r="G50" s="490"/>
      <c r="H50" s="490"/>
      <c r="I50" s="490"/>
      <c r="J50" s="490"/>
      <c r="K50" s="490"/>
      <c r="L50" s="490"/>
      <c r="M50" s="490"/>
      <c r="N50" s="490"/>
      <c r="O50" s="490"/>
      <c r="P50" s="490"/>
      <c r="Q50" s="490"/>
      <c r="R50" s="490"/>
      <c r="S50" s="490"/>
      <c r="T50" s="490"/>
    </row>
    <row r="51" spans="1:20" ht="12.75">
      <c r="A51" s="55"/>
      <c r="B51" s="490"/>
      <c r="C51" s="490"/>
      <c r="D51" s="490"/>
      <c r="E51" s="490"/>
      <c r="F51" s="490"/>
      <c r="G51" s="490"/>
      <c r="H51" s="490"/>
      <c r="I51" s="490"/>
      <c r="J51" s="490"/>
      <c r="K51" s="490"/>
      <c r="L51" s="490"/>
      <c r="M51" s="490"/>
      <c r="N51" s="490"/>
      <c r="O51" s="490"/>
      <c r="P51" s="490"/>
      <c r="Q51" s="490"/>
      <c r="R51" s="490"/>
      <c r="S51" s="490"/>
      <c r="T51" s="490"/>
    </row>
    <row r="52" spans="1:20" ht="12.75">
      <c r="A52" s="55"/>
      <c r="B52" s="61"/>
      <c r="C52" s="61"/>
      <c r="D52" s="55"/>
      <c r="E52" s="55"/>
      <c r="F52" s="61"/>
      <c r="G52" s="61"/>
      <c r="H52" s="158"/>
      <c r="I52" s="61"/>
      <c r="J52" s="490"/>
      <c r="K52" s="490"/>
      <c r="L52" s="490"/>
      <c r="M52" s="490"/>
      <c r="N52" s="490"/>
      <c r="O52" s="490"/>
      <c r="P52" s="490"/>
      <c r="Q52" s="490"/>
      <c r="R52" s="490"/>
      <c r="S52" s="490"/>
      <c r="T52" s="490"/>
    </row>
    <row r="53" spans="1:20" ht="12.75">
      <c r="A53" s="56"/>
      <c r="B53" s="31"/>
      <c r="C53" s="490"/>
      <c r="D53" s="490"/>
      <c r="E53" s="490"/>
      <c r="F53" s="490"/>
      <c r="G53" s="490"/>
      <c r="H53" s="490"/>
      <c r="I53" s="31"/>
      <c r="J53" s="157"/>
      <c r="K53" s="157"/>
      <c r="L53" s="490"/>
      <c r="M53" s="490"/>
      <c r="N53" s="490"/>
      <c r="O53" s="490"/>
      <c r="P53" s="490"/>
      <c r="Q53" s="490"/>
      <c r="R53" s="490"/>
      <c r="S53" s="490"/>
      <c r="T53" s="490"/>
    </row>
    <row r="54" spans="1:20" ht="12.75">
      <c r="A54" s="490"/>
      <c r="B54" s="490"/>
      <c r="C54" s="116"/>
      <c r="D54" s="31"/>
      <c r="E54" s="116"/>
      <c r="F54" s="31"/>
      <c r="G54" s="490"/>
      <c r="H54" s="490"/>
      <c r="I54" s="31"/>
      <c r="J54" s="31"/>
      <c r="K54" s="490"/>
      <c r="L54" s="490"/>
      <c r="M54" s="490"/>
      <c r="N54" s="490"/>
      <c r="O54" s="490"/>
      <c r="P54" s="490"/>
      <c r="Q54" s="490"/>
      <c r="R54" s="490"/>
      <c r="S54" s="490"/>
      <c r="T54" s="490"/>
    </row>
    <row r="55" spans="1:20" ht="12.75">
      <c r="A55" s="490"/>
      <c r="B55" s="490"/>
      <c r="C55" s="490"/>
      <c r="D55" s="490"/>
      <c r="E55" s="490"/>
      <c r="F55" s="490"/>
      <c r="G55" s="31"/>
      <c r="H55" s="31"/>
      <c r="I55" s="490"/>
      <c r="J55" s="490"/>
      <c r="K55" s="490"/>
      <c r="L55" s="490"/>
      <c r="M55" s="490"/>
      <c r="N55" s="490"/>
      <c r="O55" s="490"/>
      <c r="P55" s="490"/>
      <c r="Q55" s="490"/>
      <c r="R55" s="490"/>
      <c r="S55" s="490"/>
      <c r="T55" s="490"/>
    </row>
    <row r="56" spans="1:20" ht="12.75">
      <c r="A56" s="490"/>
      <c r="B56" s="505"/>
      <c r="C56" s="505"/>
      <c r="D56" s="505"/>
      <c r="E56" s="505"/>
      <c r="F56" s="505"/>
      <c r="G56" s="505"/>
      <c r="H56" s="505"/>
      <c r="I56" s="505"/>
      <c r="J56" s="490"/>
      <c r="K56" s="490"/>
      <c r="L56" s="490"/>
      <c r="M56" s="490"/>
      <c r="N56" s="490"/>
      <c r="O56" s="490"/>
      <c r="P56" s="490"/>
      <c r="Q56" s="490"/>
      <c r="R56" s="490"/>
      <c r="S56" s="490"/>
      <c r="T56" s="490"/>
    </row>
    <row r="57" spans="1:20" ht="12.75">
      <c r="A57" s="490"/>
      <c r="B57" s="505"/>
      <c r="C57" s="505"/>
      <c r="D57" s="505"/>
      <c r="E57" s="505"/>
      <c r="F57" s="505"/>
      <c r="G57" s="505"/>
      <c r="H57" s="505"/>
      <c r="I57" s="505"/>
      <c r="J57" s="490"/>
      <c r="K57" s="490"/>
      <c r="L57" s="490"/>
      <c r="M57" s="490"/>
      <c r="N57" s="490"/>
      <c r="O57" s="490"/>
      <c r="P57" s="490"/>
      <c r="Q57" s="490"/>
      <c r="R57" s="490"/>
      <c r="S57" s="490"/>
      <c r="T57" s="490"/>
    </row>
    <row r="58" spans="1:20" ht="12.75">
      <c r="A58" s="490"/>
      <c r="B58" s="505"/>
      <c r="C58" s="505"/>
      <c r="D58" s="505"/>
      <c r="E58" s="505"/>
      <c r="F58" s="505"/>
      <c r="G58" s="505"/>
      <c r="H58" s="505"/>
      <c r="I58" s="505"/>
      <c r="J58" s="490"/>
      <c r="K58" s="490"/>
      <c r="L58" s="490"/>
      <c r="M58" s="490"/>
      <c r="N58" s="490"/>
      <c r="O58" s="490"/>
      <c r="P58" s="490"/>
      <c r="Q58" s="490"/>
      <c r="R58" s="490"/>
      <c r="S58" s="490"/>
      <c r="T58" s="490"/>
    </row>
    <row r="59" spans="1:20" ht="12.75">
      <c r="A59" s="490"/>
      <c r="B59" s="505"/>
      <c r="C59" s="505"/>
      <c r="D59" s="505"/>
      <c r="E59" s="505"/>
      <c r="F59" s="505"/>
      <c r="G59" s="505"/>
      <c r="H59" s="505"/>
      <c r="I59" s="505"/>
      <c r="J59" s="490"/>
      <c r="K59" s="490"/>
      <c r="L59" s="490"/>
      <c r="M59" s="490"/>
      <c r="N59" s="490"/>
      <c r="O59" s="490"/>
      <c r="P59" s="490"/>
      <c r="Q59" s="490"/>
      <c r="R59" s="490"/>
      <c r="S59" s="490"/>
      <c r="T59" s="490"/>
    </row>
    <row r="60" spans="1:20" ht="12.75">
      <c r="A60" s="490"/>
      <c r="B60" s="505"/>
      <c r="C60" s="505"/>
      <c r="D60" s="505"/>
      <c r="E60" s="505"/>
      <c r="F60" s="505"/>
      <c r="G60" s="505"/>
      <c r="H60" s="505"/>
      <c r="I60" s="505"/>
      <c r="J60" s="490"/>
      <c r="K60" s="490"/>
      <c r="L60" s="490"/>
      <c r="M60" s="490"/>
      <c r="N60" s="490"/>
      <c r="O60" s="490"/>
      <c r="P60" s="490"/>
      <c r="Q60" s="490"/>
      <c r="R60" s="490"/>
      <c r="S60" s="490"/>
      <c r="T60" s="490"/>
    </row>
    <row r="61" spans="1:20" ht="12.75">
      <c r="A61" s="490"/>
      <c r="B61" s="505"/>
      <c r="C61" s="505"/>
      <c r="D61" s="505"/>
      <c r="E61" s="505"/>
      <c r="F61" s="505"/>
      <c r="G61" s="505"/>
      <c r="H61" s="505"/>
      <c r="I61" s="505"/>
      <c r="J61" s="490"/>
      <c r="K61" s="490"/>
      <c r="L61" s="490"/>
      <c r="M61" s="490"/>
      <c r="N61" s="490"/>
      <c r="O61" s="490"/>
      <c r="P61" s="490"/>
      <c r="Q61" s="490"/>
      <c r="R61" s="490"/>
      <c r="S61" s="490"/>
      <c r="T61" s="490"/>
    </row>
    <row r="62" spans="1:20" ht="12.75">
      <c r="A62" s="490"/>
      <c r="B62" s="490"/>
      <c r="C62" s="490"/>
      <c r="D62" s="490"/>
      <c r="E62" s="490"/>
      <c r="F62" s="490"/>
      <c r="G62" s="490"/>
      <c r="H62" s="490"/>
      <c r="I62" s="490"/>
      <c r="J62" s="490"/>
      <c r="K62" s="490"/>
      <c r="L62" s="490"/>
      <c r="M62" s="490"/>
      <c r="N62" s="490"/>
      <c r="O62" s="490"/>
      <c r="P62" s="490"/>
      <c r="Q62" s="490"/>
      <c r="R62" s="490"/>
      <c r="S62" s="490"/>
      <c r="T62" s="490"/>
    </row>
    <row r="63" spans="1:20" ht="15.75">
      <c r="A63" s="53"/>
      <c r="B63" s="490"/>
      <c r="C63" s="490"/>
      <c r="D63" s="490"/>
      <c r="E63" s="490"/>
      <c r="F63" s="490"/>
      <c r="G63" s="490"/>
      <c r="H63" s="490"/>
      <c r="I63" s="490"/>
      <c r="J63" s="490"/>
      <c r="K63" s="490"/>
      <c r="L63" s="490"/>
      <c r="M63" s="490"/>
      <c r="N63" s="490"/>
      <c r="O63" s="490"/>
      <c r="P63" s="490"/>
      <c r="Q63" s="490"/>
      <c r="R63" s="490"/>
      <c r="S63" s="490"/>
      <c r="T63" s="490"/>
    </row>
    <row r="64" spans="1:20" ht="12.75">
      <c r="A64" s="55"/>
      <c r="B64" s="490"/>
      <c r="C64" s="490"/>
      <c r="D64" s="490"/>
      <c r="E64" s="490"/>
      <c r="F64" s="490"/>
      <c r="G64" s="490"/>
      <c r="H64" s="490"/>
      <c r="I64" s="490"/>
      <c r="J64" s="490"/>
      <c r="K64" s="490"/>
      <c r="L64" s="490"/>
      <c r="M64" s="490"/>
      <c r="N64" s="490"/>
      <c r="O64" s="490"/>
      <c r="P64" s="490"/>
      <c r="Q64" s="490"/>
      <c r="R64" s="490"/>
      <c r="S64" s="490"/>
      <c r="T64" s="490"/>
    </row>
    <row r="65" spans="1:20" ht="12.75">
      <c r="A65" s="55"/>
      <c r="B65" s="61"/>
      <c r="C65" s="61"/>
      <c r="D65" s="52"/>
      <c r="E65" s="61"/>
      <c r="F65" s="61"/>
      <c r="G65" s="52"/>
      <c r="H65" s="157"/>
      <c r="I65" s="157"/>
      <c r="J65" s="490"/>
      <c r="K65" s="490"/>
      <c r="L65" s="490"/>
      <c r="M65" s="490"/>
      <c r="N65" s="490"/>
      <c r="O65" s="490"/>
      <c r="P65" s="490"/>
      <c r="Q65" s="490"/>
      <c r="R65" s="490"/>
      <c r="S65" s="490"/>
      <c r="T65" s="490"/>
    </row>
    <row r="66" spans="1:20" ht="12.75">
      <c r="A66" s="55"/>
      <c r="B66" s="61"/>
      <c r="C66" s="57"/>
      <c r="D66" s="31"/>
      <c r="E66" s="31"/>
      <c r="F66" s="490"/>
      <c r="G66" s="31"/>
      <c r="H66" s="31"/>
      <c r="I66" s="31"/>
      <c r="J66" s="490"/>
      <c r="K66" s="490"/>
      <c r="L66" s="490"/>
      <c r="M66" s="490"/>
      <c r="N66" s="490"/>
      <c r="O66" s="490"/>
      <c r="P66" s="490"/>
      <c r="Q66" s="490"/>
      <c r="R66" s="490"/>
      <c r="S66" s="490"/>
      <c r="T66" s="490"/>
    </row>
    <row r="67" spans="1:20" ht="12.75">
      <c r="A67" s="490"/>
      <c r="B67" s="490"/>
      <c r="C67" s="490"/>
      <c r="D67" s="490"/>
      <c r="E67" s="490"/>
      <c r="F67" s="52"/>
      <c r="G67" s="490"/>
      <c r="H67" s="490"/>
      <c r="I67" s="490"/>
      <c r="J67" s="490"/>
      <c r="K67" s="490"/>
      <c r="L67" s="490"/>
      <c r="M67" s="490"/>
      <c r="N67" s="490"/>
      <c r="O67" s="490"/>
      <c r="P67" s="490"/>
      <c r="Q67" s="490"/>
      <c r="R67" s="490"/>
      <c r="S67" s="490"/>
      <c r="T67" s="490"/>
    </row>
    <row r="68" spans="1:20" ht="12.75">
      <c r="A68" s="490"/>
      <c r="B68" s="490"/>
      <c r="C68" s="490"/>
      <c r="D68" s="490"/>
      <c r="E68" s="490"/>
      <c r="F68" s="490"/>
      <c r="G68" s="490"/>
      <c r="H68" s="490"/>
      <c r="I68" s="490"/>
      <c r="J68" s="490"/>
      <c r="K68" s="490"/>
      <c r="L68" s="490"/>
      <c r="M68" s="490"/>
      <c r="N68" s="490"/>
      <c r="O68" s="490"/>
      <c r="P68" s="490"/>
      <c r="Q68" s="490"/>
      <c r="R68" s="490"/>
      <c r="S68" s="490"/>
      <c r="T68" s="490"/>
    </row>
    <row r="69" spans="1:20" ht="12.75">
      <c r="A69" s="490"/>
      <c r="B69" s="490"/>
      <c r="C69" s="490"/>
      <c r="D69" s="490"/>
      <c r="E69" s="490"/>
      <c r="F69" s="490"/>
      <c r="G69" s="490"/>
      <c r="H69" s="490"/>
      <c r="I69" s="490"/>
      <c r="J69" s="490"/>
      <c r="K69" s="490"/>
      <c r="L69" s="490"/>
      <c r="M69" s="490"/>
      <c r="N69" s="490"/>
      <c r="O69" s="490"/>
      <c r="P69" s="490"/>
      <c r="Q69" s="490"/>
      <c r="R69" s="490"/>
      <c r="S69" s="490"/>
      <c r="T69" s="490"/>
    </row>
    <row r="70" spans="1:20" ht="12.75">
      <c r="A70" s="490"/>
      <c r="B70" s="490"/>
      <c r="C70" s="490"/>
      <c r="D70" s="490"/>
      <c r="E70" s="490"/>
      <c r="F70" s="490"/>
      <c r="G70" s="490"/>
      <c r="H70" s="490"/>
      <c r="I70" s="490"/>
      <c r="J70" s="490"/>
      <c r="K70" s="490"/>
      <c r="L70" s="490"/>
      <c r="M70" s="490"/>
      <c r="N70" s="490"/>
      <c r="O70" s="490"/>
      <c r="P70" s="490"/>
      <c r="Q70" s="490"/>
      <c r="R70" s="490"/>
      <c r="S70" s="490"/>
      <c r="T70" s="490"/>
    </row>
    <row r="71" spans="1:20" ht="12.75">
      <c r="A71" s="490"/>
      <c r="B71" s="490"/>
      <c r="C71" s="490"/>
      <c r="D71" s="490"/>
      <c r="E71" s="490"/>
      <c r="F71" s="490"/>
      <c r="G71" s="490"/>
      <c r="H71" s="490"/>
      <c r="I71" s="490"/>
      <c r="J71" s="490"/>
      <c r="K71" s="490"/>
      <c r="L71" s="490"/>
      <c r="M71" s="490"/>
      <c r="N71" s="490"/>
      <c r="O71" s="490"/>
      <c r="P71" s="490"/>
      <c r="Q71" s="490"/>
      <c r="R71" s="490"/>
      <c r="S71" s="490"/>
      <c r="T71" s="490"/>
    </row>
    <row r="72" spans="1:20" ht="12.75">
      <c r="A72" s="490"/>
      <c r="B72" s="490"/>
      <c r="C72" s="490"/>
      <c r="D72" s="490"/>
      <c r="E72" s="490"/>
      <c r="F72" s="490"/>
      <c r="G72" s="490"/>
      <c r="H72" s="490"/>
      <c r="I72" s="490"/>
      <c r="J72" s="490"/>
      <c r="K72" s="490"/>
      <c r="L72" s="490"/>
      <c r="M72" s="490"/>
      <c r="N72" s="490"/>
      <c r="O72" s="490"/>
      <c r="P72" s="490"/>
      <c r="Q72" s="490"/>
      <c r="R72" s="490"/>
      <c r="S72" s="490"/>
      <c r="T72" s="490"/>
    </row>
    <row r="73" spans="1:20" ht="12.75">
      <c r="A73" s="490"/>
      <c r="B73" s="490"/>
      <c r="C73" s="490"/>
      <c r="D73" s="490"/>
      <c r="E73" s="490"/>
      <c r="F73" s="490"/>
      <c r="G73" s="490"/>
      <c r="H73" s="490"/>
      <c r="I73" s="490"/>
      <c r="J73" s="490"/>
      <c r="K73" s="490"/>
      <c r="L73" s="490"/>
      <c r="M73" s="490"/>
      <c r="N73" s="490"/>
      <c r="O73" s="490"/>
      <c r="P73" s="490"/>
      <c r="Q73" s="490"/>
      <c r="R73" s="490"/>
      <c r="S73" s="490"/>
      <c r="T73" s="490"/>
    </row>
    <row r="74" spans="1:20" ht="12.75">
      <c r="A74" s="490"/>
      <c r="B74" s="490"/>
      <c r="C74" s="490"/>
      <c r="D74" s="490"/>
      <c r="E74" s="490"/>
      <c r="F74" s="490"/>
      <c r="G74" s="490"/>
      <c r="H74" s="490"/>
      <c r="I74" s="490"/>
      <c r="J74" s="490"/>
      <c r="K74" s="490"/>
      <c r="L74" s="490"/>
      <c r="M74" s="490"/>
      <c r="N74" s="490"/>
      <c r="O74" s="490"/>
      <c r="P74" s="490"/>
      <c r="Q74" s="490"/>
      <c r="R74" s="490"/>
      <c r="S74" s="490"/>
      <c r="T74" s="490"/>
    </row>
    <row r="75" spans="1:20" ht="12.75">
      <c r="A75" s="161"/>
      <c r="B75" s="490"/>
      <c r="C75" s="490"/>
      <c r="D75" s="490"/>
      <c r="E75" s="490"/>
      <c r="F75" s="490"/>
      <c r="G75" s="490"/>
      <c r="H75" s="490"/>
      <c r="I75" s="490"/>
      <c r="J75" s="490"/>
      <c r="K75" s="490"/>
      <c r="L75" s="490"/>
      <c r="M75" s="490"/>
      <c r="N75" s="490"/>
      <c r="O75" s="490"/>
      <c r="P75" s="490"/>
      <c r="Q75" s="490"/>
      <c r="R75" s="490"/>
      <c r="S75" s="490"/>
      <c r="T75" s="490"/>
    </row>
    <row r="76" spans="1:10" ht="12.75">
      <c r="A76" s="490"/>
      <c r="B76" s="490"/>
      <c r="C76" s="490"/>
      <c r="D76" s="490"/>
      <c r="E76" s="490"/>
      <c r="F76" s="490"/>
      <c r="G76" s="490"/>
      <c r="H76" s="490"/>
      <c r="I76" s="490"/>
      <c r="J76" s="490"/>
    </row>
    <row r="77" spans="1:9" ht="12.75">
      <c r="A77" s="490"/>
      <c r="B77" s="490"/>
      <c r="C77" s="490"/>
      <c r="D77" s="490"/>
      <c r="E77" s="490"/>
      <c r="F77" s="490"/>
      <c r="G77" s="490"/>
      <c r="H77" s="490"/>
      <c r="I77" s="490"/>
    </row>
    <row r="78" spans="1:9" ht="12.75">
      <c r="A78" s="490"/>
      <c r="B78" s="490"/>
      <c r="C78" s="490"/>
      <c r="D78" s="490"/>
      <c r="E78" s="490"/>
      <c r="F78" s="490"/>
      <c r="G78" s="490"/>
      <c r="H78" s="490"/>
      <c r="I78" s="490"/>
    </row>
    <row r="79" spans="1:9" ht="12.75">
      <c r="A79" s="490"/>
      <c r="B79" s="490"/>
      <c r="C79" s="490"/>
      <c r="D79" s="490"/>
      <c r="E79" s="490"/>
      <c r="F79" s="490"/>
      <c r="G79" s="490"/>
      <c r="H79" s="490"/>
      <c r="I79" s="490"/>
    </row>
    <row r="80" spans="1:9" ht="12.75">
      <c r="A80" s="490"/>
      <c r="B80" s="490"/>
      <c r="C80" s="490"/>
      <c r="D80" s="490"/>
      <c r="E80" s="490"/>
      <c r="F80" s="490"/>
      <c r="G80" s="490"/>
      <c r="H80" s="490"/>
      <c r="I80" s="490"/>
    </row>
    <row r="81" spans="1:9" ht="12.75">
      <c r="A81" s="490"/>
      <c r="B81" s="490"/>
      <c r="C81" s="490"/>
      <c r="D81" s="490"/>
      <c r="E81" s="490"/>
      <c r="F81" s="490"/>
      <c r="G81" s="490"/>
      <c r="H81" s="490"/>
      <c r="I81" s="490"/>
    </row>
    <row r="82" spans="1:9" ht="12.75">
      <c r="A82" s="490"/>
      <c r="B82" s="490"/>
      <c r="C82" s="490"/>
      <c r="D82" s="490"/>
      <c r="E82" s="490"/>
      <c r="F82" s="490"/>
      <c r="G82" s="490"/>
      <c r="H82" s="490"/>
      <c r="I82" s="490"/>
    </row>
    <row r="83" spans="1:9" ht="12.75">
      <c r="A83" s="490"/>
      <c r="B83" s="490"/>
      <c r="C83" s="490"/>
      <c r="D83" s="490"/>
      <c r="E83" s="490"/>
      <c r="F83" s="490"/>
      <c r="G83" s="490"/>
      <c r="H83" s="490"/>
      <c r="I83" s="490"/>
    </row>
    <row r="84" spans="1:9" ht="12.75">
      <c r="A84" s="490"/>
      <c r="B84" s="490"/>
      <c r="C84" s="490"/>
      <c r="D84" s="490"/>
      <c r="E84" s="490"/>
      <c r="F84" s="490"/>
      <c r="G84" s="490"/>
      <c r="H84" s="490"/>
      <c r="I84" s="490"/>
    </row>
    <row r="85" spans="1:9" ht="12.75">
      <c r="A85" s="490"/>
      <c r="B85" s="490"/>
      <c r="C85" s="490"/>
      <c r="D85" s="490"/>
      <c r="E85" s="490"/>
      <c r="F85" s="490"/>
      <c r="G85" s="490"/>
      <c r="H85" s="490"/>
      <c r="I85" s="490"/>
    </row>
    <row r="86" spans="1:9" ht="12.75">
      <c r="A86" s="490"/>
      <c r="B86" s="490"/>
      <c r="C86" s="490"/>
      <c r="D86" s="490"/>
      <c r="E86" s="490"/>
      <c r="F86" s="490"/>
      <c r="G86" s="490"/>
      <c r="H86" s="490"/>
      <c r="I86" s="490"/>
    </row>
    <row r="87" spans="1:9" ht="12.75">
      <c r="A87" s="490"/>
      <c r="B87" s="490"/>
      <c r="C87" s="490"/>
      <c r="D87" s="490"/>
      <c r="E87" s="490"/>
      <c r="F87" s="490"/>
      <c r="G87" s="490"/>
      <c r="H87" s="490"/>
      <c r="I87" s="490"/>
    </row>
    <row r="88" spans="1:9" ht="12.75">
      <c r="A88" s="490"/>
      <c r="B88" s="490"/>
      <c r="C88" s="490"/>
      <c r="D88" s="490"/>
      <c r="E88" s="490"/>
      <c r="F88" s="490"/>
      <c r="G88" s="490"/>
      <c r="H88" s="490"/>
      <c r="I88" s="490"/>
    </row>
  </sheetData>
  <printOptions/>
  <pageMargins left="0.32" right="0.25" top="0.984251968503937" bottom="0.984251968503937" header="0.5118110236220472" footer="0.5118110236220472"/>
  <pageSetup fitToHeight="1" fitToWidth="1" horizontalDpi="600" verticalDpi="600" orientation="landscape" paperSize="9" scale="71" r:id="rId1"/>
  <headerFooter alignWithMargins="0">
    <oddHeader>&amp;LMCI Management Spółka Akcyjna&amp;CSA-RS 2002&amp;Rw tys. zł</oddHeader>
    <oddFooter>&amp;CKomisja Papierów Wartościowych i Giełd</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TECHMEX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Sylwia Durys-Jaworska</dc:creator>
  <cp:keywords/>
  <dc:description/>
  <cp:lastModifiedBy>####</cp:lastModifiedBy>
  <cp:lastPrinted>2003-05-13T15:36:56Z</cp:lastPrinted>
  <dcterms:created xsi:type="dcterms:W3CDTF">2002-06-19T13:44:03Z</dcterms:created>
  <dcterms:modified xsi:type="dcterms:W3CDTF">2003-05-15T02:45:51Z</dcterms:modified>
  <cp:category/>
  <cp:version/>
  <cp:contentType/>
  <cp:contentStatus/>
</cp:coreProperties>
</file>